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15" windowWidth="8460" windowHeight="6105" tabRatio="643" activeTab="3"/>
  </bookViews>
  <sheets>
    <sheet name="BĐTN" sheetId="17" r:id="rId1"/>
    <sheet name="BD" sheetId="14" r:id="rId2"/>
    <sheet name="CHUONG TRINH ĐT" sheetId="15" r:id="rId3"/>
    <sheet name="K20MCS" sheetId="7" r:id="rId4"/>
    <sheet name="LUAN VAN" sheetId="12" r:id="rId5"/>
    <sheet name="TN1" sheetId="16" r:id="rId6"/>
  </sheets>
  <definedNames>
    <definedName name="_Fill" localSheetId="0" hidden="1">#REF!</definedName>
    <definedName name="_Fill" localSheetId="5" hidden="1">#REF!</definedName>
    <definedName name="_Fill" hidden="1">#REF!</definedName>
    <definedName name="_xlnm._FilterDatabase" localSheetId="3" hidden="1">K20MCS!$A$5:$CK$18</definedName>
    <definedName name="_xlnm._FilterDatabase" localSheetId="4" hidden="1">'LUAN VAN'!$A$3:$M$17</definedName>
    <definedName name="_Key1" localSheetId="0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4" hidden="1">#REF!</definedName>
    <definedName name="_Sort" localSheetId="5" hidden="1">#REF!</definedName>
    <definedName name="_Sort" hidden="1">#REF!</definedName>
    <definedName name="d" localSheetId="1" hidden="1">{"'Sheet1'!$L$16"}</definedName>
    <definedName name="d" localSheetId="0" hidden="1">{"'Sheet1'!$L$16"}</definedName>
    <definedName name="d" localSheetId="5" hidden="1">{"'Sheet1'!$L$16"}</definedName>
    <definedName name="d" hidden="1">{"'Sheet1'!$L$16"}</definedName>
    <definedName name="h" localSheetId="1" hidden="1">{"'Sheet1'!$L$16"}</definedName>
    <definedName name="h" localSheetId="0" hidden="1">{"'Sheet1'!$L$16"}</definedName>
    <definedName name="h" localSheetId="5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5" hidden="1">{"'Sheet1'!$L$16"}</definedName>
    <definedName name="huy" hidden="1">{"'Sheet1'!$L$16"}</definedName>
    <definedName name="KHANH" localSheetId="0" hidden="1">#REF!</definedName>
    <definedName name="KHANH" localSheetId="5" hidden="1">#REF!</definedName>
    <definedName name="KHANH" hidden="1">#REF!</definedName>
    <definedName name="_xlnm.Print_Area" localSheetId="1">BD!$A$1:$N$53</definedName>
    <definedName name="_xlnm.Print_Area" localSheetId="0">BĐTN!$A$1:$N$52</definedName>
    <definedName name="_xlnm.Print_Area" localSheetId="5">'TN1'!$A$1:$AG$39</definedName>
    <definedName name="_xlnm.Print_Titles" localSheetId="5">'TN1'!$1:$10</definedName>
  </definedNames>
  <calcPr calcId="162913" iterate="1"/>
</workbook>
</file>

<file path=xl/calcChain.xml><?xml version="1.0" encoding="utf-8"?>
<calcChain xmlns="http://schemas.openxmlformats.org/spreadsheetml/2006/main">
  <c r="K46" i="17" l="1"/>
  <c r="N36" i="17"/>
  <c r="N17" i="17"/>
  <c r="B17" i="17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O16" i="17"/>
  <c r="K16" i="17" s="1"/>
  <c r="N16" i="17"/>
  <c r="B16" i="17"/>
  <c r="K15" i="17"/>
  <c r="M8" i="17"/>
  <c r="J15" i="17"/>
  <c r="C41" i="17"/>
  <c r="C45" i="17"/>
  <c r="G8" i="17"/>
  <c r="D15" i="17"/>
  <c r="D16" i="17"/>
  <c r="G9" i="17"/>
  <c r="B8" i="17"/>
  <c r="E16" i="17"/>
  <c r="B40" i="17"/>
  <c r="C42" i="17"/>
  <c r="E15" i="17"/>
  <c r="J16" i="17"/>
  <c r="N18" i="17" l="1"/>
  <c r="O17" i="17"/>
  <c r="C15" i="12"/>
  <c r="D15" i="12"/>
  <c r="E15" i="12"/>
  <c r="F15" i="12"/>
  <c r="C16" i="12"/>
  <c r="D16" i="12"/>
  <c r="E16" i="12"/>
  <c r="F16" i="12"/>
  <c r="F14" i="12"/>
  <c r="E14" i="12"/>
  <c r="D14" i="12"/>
  <c r="C14" i="12"/>
  <c r="C17" i="12"/>
  <c r="D17" i="12"/>
  <c r="E17" i="12"/>
  <c r="F17" i="12"/>
  <c r="AC31" i="16"/>
  <c r="AC6" i="16"/>
  <c r="N19" i="17" l="1"/>
  <c r="K17" i="17"/>
  <c r="O18" i="17"/>
  <c r="N29" i="16"/>
  <c r="C16" i="16"/>
  <c r="D16" i="16"/>
  <c r="D17" i="17"/>
  <c r="C25" i="16"/>
  <c r="M30" i="16"/>
  <c r="R30" i="16"/>
  <c r="C16" i="17"/>
  <c r="C12" i="16"/>
  <c r="M10" i="16"/>
  <c r="C43" i="17"/>
  <c r="F26" i="16"/>
  <c r="F16" i="16"/>
  <c r="D29" i="16"/>
  <c r="F17" i="16"/>
  <c r="J30" i="16"/>
  <c r="P9" i="16"/>
  <c r="K36" i="17"/>
  <c r="L9" i="16"/>
  <c r="F12" i="16"/>
  <c r="F28" i="16"/>
  <c r="D24" i="16"/>
  <c r="G10" i="16"/>
  <c r="O29" i="16"/>
  <c r="J17" i="17"/>
  <c r="T29" i="16"/>
  <c r="X29" i="16"/>
  <c r="E15" i="16"/>
  <c r="N30" i="16"/>
  <c r="W30" i="16"/>
  <c r="K10" i="16"/>
  <c r="E26" i="16"/>
  <c r="W10" i="16"/>
  <c r="I30" i="16"/>
  <c r="D23" i="16"/>
  <c r="R10" i="16"/>
  <c r="T10" i="16"/>
  <c r="Q29" i="16"/>
  <c r="H10" i="16"/>
  <c r="C30" i="16"/>
  <c r="I9" i="16"/>
  <c r="C20" i="16"/>
  <c r="Q10" i="16"/>
  <c r="D21" i="16"/>
  <c r="Y29" i="16"/>
  <c r="E16" i="16"/>
  <c r="X30" i="16"/>
  <c r="Z9" i="16"/>
  <c r="L10" i="16"/>
  <c r="I29" i="16"/>
  <c r="T30" i="16"/>
  <c r="F21" i="16"/>
  <c r="I10" i="16"/>
  <c r="W9" i="16"/>
  <c r="C15" i="17"/>
  <c r="D28" i="16"/>
  <c r="U10" i="16"/>
  <c r="E20" i="16"/>
  <c r="D12" i="16"/>
  <c r="E24" i="16"/>
  <c r="E30" i="16"/>
  <c r="V30" i="16"/>
  <c r="U29" i="16"/>
  <c r="S10" i="16"/>
  <c r="M9" i="16"/>
  <c r="C24" i="16"/>
  <c r="F29" i="16"/>
  <c r="H9" i="16"/>
  <c r="C29" i="16"/>
  <c r="F13" i="16"/>
  <c r="C14" i="16"/>
  <c r="E17" i="16"/>
  <c r="U30" i="16"/>
  <c r="J29" i="16"/>
  <c r="G9" i="16"/>
  <c r="D15" i="16"/>
  <c r="E28" i="16"/>
  <c r="N9" i="16"/>
  <c r="Q9" i="16"/>
  <c r="L30" i="16"/>
  <c r="C44" i="17"/>
  <c r="J9" i="16"/>
  <c r="V9" i="16"/>
  <c r="E12" i="16"/>
  <c r="O9" i="16"/>
  <c r="F24" i="16"/>
  <c r="C26" i="16"/>
  <c r="K9" i="16"/>
  <c r="Z30" i="16"/>
  <c r="C21" i="16"/>
  <c r="D25" i="16"/>
  <c r="T9" i="16"/>
  <c r="X9" i="16"/>
  <c r="K30" i="16"/>
  <c r="G29" i="16"/>
  <c r="V10" i="16"/>
  <c r="E21" i="16"/>
  <c r="E17" i="17"/>
  <c r="K29" i="16"/>
  <c r="L29" i="16"/>
  <c r="D26" i="16"/>
  <c r="C13" i="16"/>
  <c r="E23" i="16"/>
  <c r="R29" i="16"/>
  <c r="Y30" i="16"/>
  <c r="P29" i="16"/>
  <c r="Y10" i="16"/>
  <c r="D14" i="16"/>
  <c r="C15" i="16"/>
  <c r="S9" i="16"/>
  <c r="O10" i="16"/>
  <c r="N10" i="16"/>
  <c r="F30" i="16"/>
  <c r="S30" i="16"/>
  <c r="C17" i="16"/>
  <c r="E25" i="16"/>
  <c r="E13" i="16"/>
  <c r="H29" i="16"/>
  <c r="F25" i="16"/>
  <c r="Y9" i="16"/>
  <c r="F14" i="16"/>
  <c r="X10" i="16"/>
  <c r="P30" i="16"/>
  <c r="Z10" i="16"/>
  <c r="H30" i="16"/>
  <c r="J10" i="16"/>
  <c r="E14" i="16"/>
  <c r="D17" i="16"/>
  <c r="W29" i="16"/>
  <c r="B38" i="17"/>
  <c r="E29" i="16"/>
  <c r="Q30" i="16"/>
  <c r="O30" i="16"/>
  <c r="U9" i="16"/>
  <c r="S29" i="16"/>
  <c r="M29" i="16"/>
  <c r="D30" i="16"/>
  <c r="P10" i="16"/>
  <c r="D13" i="16"/>
  <c r="G30" i="16"/>
  <c r="D20" i="16"/>
  <c r="F23" i="16"/>
  <c r="C28" i="16"/>
  <c r="Z29" i="16"/>
  <c r="C23" i="16"/>
  <c r="V29" i="16"/>
  <c r="F15" i="16"/>
  <c r="R9" i="16"/>
  <c r="M9" i="17"/>
  <c r="F20" i="16"/>
  <c r="D18" i="17"/>
  <c r="E18" i="17"/>
  <c r="J18" i="17"/>
  <c r="AC30" i="16" l="1"/>
  <c r="AD30" i="16"/>
  <c r="AA30" i="16"/>
  <c r="AB30" i="16" s="1"/>
  <c r="P7" i="16"/>
  <c r="J7" i="16"/>
  <c r="Z7" i="16"/>
  <c r="X7" i="16"/>
  <c r="N7" i="16"/>
  <c r="O7" i="16"/>
  <c r="Y7" i="16"/>
  <c r="V7" i="16"/>
  <c r="AC29" i="16"/>
  <c r="AA29" i="16"/>
  <c r="AB29" i="16" s="1"/>
  <c r="AD29" i="16"/>
  <c r="AF29" i="16" s="1"/>
  <c r="S7" i="16"/>
  <c r="U7" i="16"/>
  <c r="I7" i="16"/>
  <c r="L7" i="16"/>
  <c r="Q7" i="16"/>
  <c r="H7" i="16"/>
  <c r="T7" i="16"/>
  <c r="R7" i="16"/>
  <c r="W7" i="16"/>
  <c r="K7" i="16"/>
  <c r="AA10" i="16"/>
  <c r="G7" i="16"/>
  <c r="M7" i="16"/>
  <c r="N20" i="17"/>
  <c r="O19" i="17"/>
  <c r="K18" i="17"/>
  <c r="E19" i="17"/>
  <c r="J19" i="17"/>
  <c r="C17" i="17"/>
  <c r="D19" i="17"/>
  <c r="C18" i="17"/>
  <c r="AF30" i="16" l="1"/>
  <c r="AC7" i="16"/>
  <c r="N21" i="17"/>
  <c r="K19" i="17"/>
  <c r="O20" i="17"/>
  <c r="D20" i="17"/>
  <c r="E20" i="17"/>
  <c r="C19" i="17"/>
  <c r="J20" i="17"/>
  <c r="K20" i="17" l="1"/>
  <c r="O21" i="17"/>
  <c r="N22" i="17"/>
  <c r="D21" i="17"/>
  <c r="C20" i="17"/>
  <c r="E21" i="17"/>
  <c r="J21" i="17"/>
  <c r="O22" i="17" l="1"/>
  <c r="K21" i="17"/>
  <c r="N23" i="17"/>
  <c r="E22" i="17"/>
  <c r="J22" i="17"/>
  <c r="C21" i="17"/>
  <c r="D22" i="17"/>
  <c r="K22" i="17" l="1"/>
  <c r="O23" i="17"/>
  <c r="N24" i="17"/>
  <c r="O16" i="14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C22" i="17"/>
  <c r="D23" i="17"/>
  <c r="E23" i="17"/>
  <c r="J23" i="17"/>
  <c r="K23" i="17" l="1"/>
  <c r="O24" i="17"/>
  <c r="N25" i="17"/>
  <c r="J36" i="15"/>
  <c r="K35" i="15"/>
  <c r="K36" i="15" s="1"/>
  <c r="G35" i="15"/>
  <c r="E30" i="15"/>
  <c r="E25" i="15"/>
  <c r="E24" i="15"/>
  <c r="E20" i="15"/>
  <c r="E14" i="15"/>
  <c r="E13" i="15" s="1"/>
  <c r="H12" i="15"/>
  <c r="I10" i="15"/>
  <c r="I36" i="15" s="1"/>
  <c r="F10" i="15"/>
  <c r="H9" i="15"/>
  <c r="F9" i="15"/>
  <c r="E7" i="15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J20" i="16"/>
  <c r="J26" i="16"/>
  <c r="I15" i="16"/>
  <c r="I25" i="16"/>
  <c r="H14" i="16"/>
  <c r="H24" i="16"/>
  <c r="G13" i="16"/>
  <c r="G23" i="16"/>
  <c r="J21" i="16"/>
  <c r="J17" i="16"/>
  <c r="I20" i="16"/>
  <c r="I26" i="16"/>
  <c r="H15" i="16"/>
  <c r="H25" i="16"/>
  <c r="G14" i="16"/>
  <c r="G24" i="16"/>
  <c r="J14" i="16"/>
  <c r="J24" i="16"/>
  <c r="I13" i="16"/>
  <c r="I23" i="16"/>
  <c r="H12" i="16"/>
  <c r="H16" i="16"/>
  <c r="H28" i="16"/>
  <c r="G21" i="16"/>
  <c r="G17" i="16"/>
  <c r="J15" i="16"/>
  <c r="J25" i="16"/>
  <c r="I14" i="16"/>
  <c r="H13" i="16"/>
  <c r="G12" i="16"/>
  <c r="G28" i="16"/>
  <c r="J12" i="16"/>
  <c r="J16" i="16"/>
  <c r="J28" i="16"/>
  <c r="I21" i="16"/>
  <c r="H20" i="16"/>
  <c r="H26" i="16"/>
  <c r="G15" i="16"/>
  <c r="G25" i="16"/>
  <c r="J13" i="16"/>
  <c r="J23" i="16"/>
  <c r="I12" i="16"/>
  <c r="I16" i="16"/>
  <c r="I28" i="16"/>
  <c r="H21" i="16"/>
  <c r="G20" i="16"/>
  <c r="G26" i="16"/>
  <c r="I24" i="16"/>
  <c r="H23" i="16"/>
  <c r="G16" i="16"/>
  <c r="D24" i="17"/>
  <c r="J24" i="17"/>
  <c r="I17" i="16"/>
  <c r="H17" i="16"/>
  <c r="C23" i="17"/>
  <c r="E24" i="17"/>
  <c r="E15" i="14"/>
  <c r="K15" i="14" l="1"/>
  <c r="K17" i="14"/>
  <c r="K18" i="14"/>
  <c r="K16" i="14"/>
  <c r="N26" i="17"/>
  <c r="O25" i="17"/>
  <c r="K24" i="17"/>
  <c r="E36" i="15"/>
  <c r="H36" i="15"/>
  <c r="BG18" i="7"/>
  <c r="BG17" i="7"/>
  <c r="BG16" i="7"/>
  <c r="BG15" i="7"/>
  <c r="BG14" i="7"/>
  <c r="BG13" i="7"/>
  <c r="BG12" i="7"/>
  <c r="BG11" i="7"/>
  <c r="BG10" i="7"/>
  <c r="BG9" i="7"/>
  <c r="BG8" i="7"/>
  <c r="BG7" i="7"/>
  <c r="BG6" i="7"/>
  <c r="BG2" i="7"/>
  <c r="S23" i="16"/>
  <c r="S13" i="16"/>
  <c r="S28" i="16"/>
  <c r="S16" i="16"/>
  <c r="S12" i="16"/>
  <c r="S17" i="16"/>
  <c r="S21" i="16"/>
  <c r="S26" i="16"/>
  <c r="S20" i="16"/>
  <c r="S25" i="16"/>
  <c r="S15" i="16"/>
  <c r="S24" i="16"/>
  <c r="S14" i="16"/>
  <c r="E25" i="17"/>
  <c r="J25" i="17"/>
  <c r="C24" i="17"/>
  <c r="D25" i="17"/>
  <c r="K27" i="14" l="1"/>
  <c r="N27" i="17"/>
  <c r="K25" i="17"/>
  <c r="O26" i="17"/>
  <c r="M8" i="14"/>
  <c r="J26" i="17"/>
  <c r="B8" i="14"/>
  <c r="E26" i="17"/>
  <c r="C25" i="17"/>
  <c r="D26" i="17"/>
  <c r="N28" i="17" l="1"/>
  <c r="K26" i="17"/>
  <c r="O27" i="17"/>
  <c r="E27" i="17"/>
  <c r="J27" i="17"/>
  <c r="D27" i="17"/>
  <c r="C26" i="17"/>
  <c r="N29" i="17" l="1"/>
  <c r="O28" i="17"/>
  <c r="K27" i="17"/>
  <c r="CE12" i="7"/>
  <c r="CE14" i="7"/>
  <c r="CE15" i="7"/>
  <c r="CE18" i="7"/>
  <c r="AQ6" i="7"/>
  <c r="AQ8" i="7"/>
  <c r="AQ9" i="7"/>
  <c r="AQ14" i="7"/>
  <c r="AQ17" i="7"/>
  <c r="CA9" i="7"/>
  <c r="CA12" i="7"/>
  <c r="CA14" i="7"/>
  <c r="CA17" i="7"/>
  <c r="CA18" i="7"/>
  <c r="AU7" i="7"/>
  <c r="AU16" i="7"/>
  <c r="K46" i="14"/>
  <c r="N16" i="14"/>
  <c r="B16" i="14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AA18" i="7"/>
  <c r="AE18" i="7"/>
  <c r="AI18" i="7"/>
  <c r="AM18" i="7"/>
  <c r="AU18" i="7"/>
  <c r="AY18" i="7"/>
  <c r="BC18" i="7"/>
  <c r="BK18" i="7"/>
  <c r="BO18" i="7"/>
  <c r="BS18" i="7"/>
  <c r="BW18" i="7"/>
  <c r="CI18" i="7"/>
  <c r="AA11" i="7"/>
  <c r="AE11" i="7"/>
  <c r="AI11" i="7"/>
  <c r="AM11" i="7"/>
  <c r="AQ11" i="7"/>
  <c r="AU11" i="7"/>
  <c r="AY11" i="7"/>
  <c r="BC11" i="7"/>
  <c r="BK11" i="7"/>
  <c r="BO11" i="7"/>
  <c r="BS11" i="7"/>
  <c r="BW11" i="7"/>
  <c r="CA11" i="7"/>
  <c r="CE11" i="7"/>
  <c r="CI11" i="7"/>
  <c r="AU6" i="7"/>
  <c r="BW6" i="7"/>
  <c r="CE17" i="7"/>
  <c r="CE16" i="7"/>
  <c r="CA16" i="7"/>
  <c r="CE13" i="7"/>
  <c r="CA13" i="7"/>
  <c r="CE10" i="7"/>
  <c r="CA10" i="7"/>
  <c r="CE8" i="7"/>
  <c r="CA8" i="7"/>
  <c r="CE7" i="7"/>
  <c r="CA7" i="7"/>
  <c r="CE6" i="7"/>
  <c r="CA6" i="7"/>
  <c r="CE2" i="7"/>
  <c r="CA2" i="7"/>
  <c r="CI17" i="7"/>
  <c r="CI16" i="7"/>
  <c r="CI15" i="7"/>
  <c r="CI14" i="7"/>
  <c r="CI13" i="7"/>
  <c r="CI12" i="7"/>
  <c r="CI10" i="7"/>
  <c r="CI9" i="7"/>
  <c r="CI8" i="7"/>
  <c r="CI7" i="7"/>
  <c r="CI6" i="7"/>
  <c r="CI2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E6" i="7"/>
  <c r="AA15" i="7"/>
  <c r="AE15" i="7"/>
  <c r="AI15" i="7"/>
  <c r="AM15" i="7"/>
  <c r="AY15" i="7"/>
  <c r="BC15" i="7"/>
  <c r="BK15" i="7"/>
  <c r="BO15" i="7"/>
  <c r="BS15" i="7"/>
  <c r="BW15" i="7"/>
  <c r="AA16" i="7"/>
  <c r="AE16" i="7"/>
  <c r="AI16" i="7"/>
  <c r="AM16" i="7"/>
  <c r="AQ16" i="7"/>
  <c r="AY16" i="7"/>
  <c r="BC16" i="7"/>
  <c r="BK16" i="7"/>
  <c r="BO16" i="7"/>
  <c r="BS16" i="7"/>
  <c r="BW16" i="7"/>
  <c r="AA17" i="7"/>
  <c r="AE17" i="7"/>
  <c r="AI17" i="7"/>
  <c r="AM17" i="7"/>
  <c r="AU17" i="7"/>
  <c r="AY17" i="7"/>
  <c r="BC17" i="7"/>
  <c r="BK17" i="7"/>
  <c r="BO17" i="7"/>
  <c r="BS17" i="7"/>
  <c r="BW17" i="7"/>
  <c r="BW14" i="7"/>
  <c r="BS14" i="7"/>
  <c r="BO14" i="7"/>
  <c r="BK14" i="7"/>
  <c r="BC14" i="7"/>
  <c r="AY14" i="7"/>
  <c r="AU14" i="7"/>
  <c r="AM14" i="7"/>
  <c r="AI14" i="7"/>
  <c r="AE14" i="7"/>
  <c r="AA14" i="7"/>
  <c r="BW13" i="7"/>
  <c r="BS13" i="7"/>
  <c r="BO13" i="7"/>
  <c r="BK13" i="7"/>
  <c r="BC13" i="7"/>
  <c r="AY13" i="7"/>
  <c r="AU13" i="7"/>
  <c r="AQ13" i="7"/>
  <c r="AM13" i="7"/>
  <c r="AI13" i="7"/>
  <c r="AE13" i="7"/>
  <c r="AA13" i="7"/>
  <c r="BW12" i="7"/>
  <c r="BS12" i="7"/>
  <c r="BO12" i="7"/>
  <c r="BK12" i="7"/>
  <c r="BC12" i="7"/>
  <c r="AY12" i="7"/>
  <c r="AU12" i="7"/>
  <c r="AM12" i="7"/>
  <c r="AI12" i="7"/>
  <c r="AE12" i="7"/>
  <c r="AA12" i="7"/>
  <c r="BW10" i="7"/>
  <c r="BS10" i="7"/>
  <c r="BO10" i="7"/>
  <c r="BK10" i="7"/>
  <c r="BC10" i="7"/>
  <c r="AY10" i="7"/>
  <c r="AU10" i="7"/>
  <c r="AQ10" i="7"/>
  <c r="AM10" i="7"/>
  <c r="AI10" i="7"/>
  <c r="AE10" i="7"/>
  <c r="AA10" i="7"/>
  <c r="BW9" i="7"/>
  <c r="BS9" i="7"/>
  <c r="BO9" i="7"/>
  <c r="BK9" i="7"/>
  <c r="BC9" i="7"/>
  <c r="AY9" i="7"/>
  <c r="AU9" i="7"/>
  <c r="AM9" i="7"/>
  <c r="AI9" i="7"/>
  <c r="AE9" i="7"/>
  <c r="AA9" i="7"/>
  <c r="BW8" i="7"/>
  <c r="BS8" i="7"/>
  <c r="BO8" i="7"/>
  <c r="BK8" i="7"/>
  <c r="BC8" i="7"/>
  <c r="AY8" i="7"/>
  <c r="AU8" i="7"/>
  <c r="AM8" i="7"/>
  <c r="AI8" i="7"/>
  <c r="AE8" i="7"/>
  <c r="AA8" i="7"/>
  <c r="BW7" i="7"/>
  <c r="BS7" i="7"/>
  <c r="BO7" i="7"/>
  <c r="BK7" i="7"/>
  <c r="BC7" i="7"/>
  <c r="AY7" i="7"/>
  <c r="AQ7" i="7"/>
  <c r="AM7" i="7"/>
  <c r="AI7" i="7"/>
  <c r="AE7" i="7"/>
  <c r="AA7" i="7"/>
  <c r="BS6" i="7"/>
  <c r="BO6" i="7"/>
  <c r="BK6" i="7"/>
  <c r="BC6" i="7"/>
  <c r="AY6" i="7"/>
  <c r="AM6" i="7"/>
  <c r="AI6" i="7"/>
  <c r="AA6" i="7"/>
  <c r="C5" i="12"/>
  <c r="D5" i="12"/>
  <c r="E5" i="12"/>
  <c r="F5" i="12"/>
  <c r="C6" i="12"/>
  <c r="D6" i="12"/>
  <c r="E6" i="12"/>
  <c r="F6" i="12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F4" i="12"/>
  <c r="E4" i="12"/>
  <c r="D4" i="12"/>
  <c r="C4" i="12"/>
  <c r="CK5" i="7"/>
  <c r="BW2" i="7"/>
  <c r="BS2" i="7"/>
  <c r="BO2" i="7"/>
  <c r="BK2" i="7"/>
  <c r="BC2" i="7"/>
  <c r="AY2" i="7"/>
  <c r="AU2" i="7"/>
  <c r="AQ2" i="7"/>
  <c r="AM2" i="7"/>
  <c r="AI2" i="7"/>
  <c r="AE2" i="7"/>
  <c r="AA2" i="7"/>
  <c r="W2" i="7"/>
  <c r="S2" i="7"/>
  <c r="O2" i="7"/>
  <c r="K2" i="7"/>
  <c r="AU15" i="7"/>
  <c r="CA15" i="7"/>
  <c r="AQ18" i="7"/>
  <c r="AQ12" i="7"/>
  <c r="AQ15" i="7"/>
  <c r="CE9" i="7"/>
  <c r="Z26" i="16"/>
  <c r="L23" i="16"/>
  <c r="W14" i="16"/>
  <c r="T12" i="16"/>
  <c r="N28" i="16"/>
  <c r="V28" i="16"/>
  <c r="N21" i="16"/>
  <c r="U21" i="16"/>
  <c r="P12" i="16"/>
  <c r="X23" i="16"/>
  <c r="X13" i="16"/>
  <c r="Z15" i="16"/>
  <c r="L12" i="16"/>
  <c r="R25" i="16"/>
  <c r="L26" i="16"/>
  <c r="T26" i="16"/>
  <c r="M17" i="16"/>
  <c r="U17" i="16"/>
  <c r="T24" i="16"/>
  <c r="L24" i="16"/>
  <c r="R23" i="16"/>
  <c r="R16" i="16"/>
  <c r="Q20" i="16"/>
  <c r="K20" i="16"/>
  <c r="P14" i="16"/>
  <c r="N13" i="16"/>
  <c r="O14" i="16"/>
  <c r="X24" i="16"/>
  <c r="P28" i="16"/>
  <c r="W28" i="16"/>
  <c r="O21" i="16"/>
  <c r="V21" i="16"/>
  <c r="W12" i="16"/>
  <c r="Y20" i="16"/>
  <c r="Y12" i="16"/>
  <c r="Z25" i="16"/>
  <c r="Z14" i="16"/>
  <c r="K25" i="16"/>
  <c r="T25" i="16"/>
  <c r="M26" i="16"/>
  <c r="U26" i="16"/>
  <c r="N17" i="16"/>
  <c r="V17" i="16"/>
  <c r="R24" i="16"/>
  <c r="K24" i="16"/>
  <c r="Q23" i="16"/>
  <c r="K23" i="16"/>
  <c r="Q16" i="16"/>
  <c r="W20" i="16"/>
  <c r="P20" i="16"/>
  <c r="W15" i="16"/>
  <c r="N14" i="16"/>
  <c r="U13" i="16"/>
  <c r="M13" i="16"/>
  <c r="Y16" i="16"/>
  <c r="O15" i="16"/>
  <c r="X17" i="16"/>
  <c r="Q28" i="16"/>
  <c r="Z28" i="16"/>
  <c r="P21" i="16"/>
  <c r="W21" i="16"/>
  <c r="Y17" i="16"/>
  <c r="X20" i="16"/>
  <c r="X12" i="16"/>
  <c r="Z24" i="16"/>
  <c r="Z13" i="16"/>
  <c r="L25" i="16"/>
  <c r="U25" i="16"/>
  <c r="N26" i="16"/>
  <c r="V26" i="16"/>
  <c r="P17" i="16"/>
  <c r="W17" i="16"/>
  <c r="Q24" i="16"/>
  <c r="W23" i="16"/>
  <c r="P23" i="16"/>
  <c r="W16" i="16"/>
  <c r="P16" i="16"/>
  <c r="V20" i="16"/>
  <c r="O20" i="16"/>
  <c r="V15" i="16"/>
  <c r="N15" i="16"/>
  <c r="U14" i="16"/>
  <c r="M14" i="16"/>
  <c r="T13" i="16"/>
  <c r="L13" i="16"/>
  <c r="Q12" i="16"/>
  <c r="Y15" i="16"/>
  <c r="Y24" i="16"/>
  <c r="O24" i="16"/>
  <c r="X28" i="16"/>
  <c r="K28" i="16"/>
  <c r="R28" i="16"/>
  <c r="K21" i="16"/>
  <c r="Q21" i="16"/>
  <c r="X21" i="16"/>
  <c r="Y26" i="16"/>
  <c r="Y14" i="16"/>
  <c r="Z23" i="16"/>
  <c r="Z12" i="16"/>
  <c r="M25" i="16"/>
  <c r="V25" i="16"/>
  <c r="O26" i="16"/>
  <c r="W26" i="16"/>
  <c r="Q17" i="16"/>
  <c r="W24" i="16"/>
  <c r="P24" i="16"/>
  <c r="V23" i="16"/>
  <c r="O23" i="16"/>
  <c r="V16" i="16"/>
  <c r="N16" i="16"/>
  <c r="U20" i="16"/>
  <c r="N20" i="16"/>
  <c r="U15" i="16"/>
  <c r="M15" i="16"/>
  <c r="T14" i="16"/>
  <c r="L14" i="16"/>
  <c r="R13" i="16"/>
  <c r="N12" i="16"/>
  <c r="P25" i="16"/>
  <c r="K16" i="16"/>
  <c r="Q15" i="16"/>
  <c r="V13" i="16"/>
  <c r="P15" i="16"/>
  <c r="R12" i="16"/>
  <c r="K13" i="16"/>
  <c r="O16" i="16"/>
  <c r="V14" i="16"/>
  <c r="O25" i="16"/>
  <c r="Y25" i="16"/>
  <c r="O17" i="16"/>
  <c r="P13" i="16"/>
  <c r="L28" i="16"/>
  <c r="T28" i="16"/>
  <c r="L21" i="16"/>
  <c r="R21" i="16"/>
  <c r="Y21" i="16"/>
  <c r="X26" i="16"/>
  <c r="X14" i="16"/>
  <c r="Z16" i="16"/>
  <c r="N25" i="16"/>
  <c r="W25" i="16"/>
  <c r="Q26" i="16"/>
  <c r="K17" i="16"/>
  <c r="R17" i="16"/>
  <c r="V24" i="16"/>
  <c r="N24" i="16"/>
  <c r="U23" i="16"/>
  <c r="N23" i="16"/>
  <c r="U16" i="16"/>
  <c r="M16" i="16"/>
  <c r="T20" i="16"/>
  <c r="M20" i="16"/>
  <c r="T15" i="16"/>
  <c r="L15" i="16"/>
  <c r="R14" i="16"/>
  <c r="K14" i="16"/>
  <c r="Q13" i="16"/>
  <c r="V12" i="16"/>
  <c r="M12" i="16"/>
  <c r="X25" i="16"/>
  <c r="Y28" i="16"/>
  <c r="X15" i="16"/>
  <c r="P26" i="16"/>
  <c r="M28" i="16"/>
  <c r="U28" i="16"/>
  <c r="M21" i="16"/>
  <c r="T21" i="16"/>
  <c r="Z21" i="16"/>
  <c r="Y23" i="16"/>
  <c r="Y13" i="16"/>
  <c r="Z17" i="16"/>
  <c r="Z20" i="16"/>
  <c r="Q25" i="16"/>
  <c r="K26" i="16"/>
  <c r="R26" i="16"/>
  <c r="L17" i="16"/>
  <c r="T17" i="16"/>
  <c r="U24" i="16"/>
  <c r="M24" i="16"/>
  <c r="T23" i="16"/>
  <c r="M23" i="16"/>
  <c r="T16" i="16"/>
  <c r="L16" i="16"/>
  <c r="R20" i="16"/>
  <c r="L20" i="16"/>
  <c r="R15" i="16"/>
  <c r="K15" i="16"/>
  <c r="Q14" i="16"/>
  <c r="W13" i="16"/>
  <c r="O13" i="16"/>
  <c r="U12" i="16"/>
  <c r="K12" i="16"/>
  <c r="O28" i="16"/>
  <c r="O12" i="16"/>
  <c r="X16" i="16"/>
  <c r="C45" i="14"/>
  <c r="C41" i="14"/>
  <c r="D15" i="14"/>
  <c r="C27" i="17"/>
  <c r="G8" i="14"/>
  <c r="J28" i="17"/>
  <c r="C42" i="14"/>
  <c r="M9" i="14"/>
  <c r="B38" i="14"/>
  <c r="D16" i="14"/>
  <c r="C43" i="14"/>
  <c r="E28" i="17"/>
  <c r="D28" i="17"/>
  <c r="C44" i="14"/>
  <c r="J15" i="14"/>
  <c r="B40" i="14"/>
  <c r="G9" i="14"/>
  <c r="AA12" i="16" l="1"/>
  <c r="AB12" i="16" s="1"/>
  <c r="AC12" i="16"/>
  <c r="AD12" i="16"/>
  <c r="AF12" i="16" s="1"/>
  <c r="AA15" i="16"/>
  <c r="AB15" i="16" s="1"/>
  <c r="AC15" i="16"/>
  <c r="AD15" i="16"/>
  <c r="AA26" i="16"/>
  <c r="AB26" i="16" s="1"/>
  <c r="AC26" i="16"/>
  <c r="AD26" i="16"/>
  <c r="AF26" i="16" s="1"/>
  <c r="AC14" i="16"/>
  <c r="AD14" i="16"/>
  <c r="AA14" i="16"/>
  <c r="AB14" i="16" s="1"/>
  <c r="AA17" i="16"/>
  <c r="AB17" i="16" s="1"/>
  <c r="AC17" i="16"/>
  <c r="AD17" i="16"/>
  <c r="AF17" i="16" s="1"/>
  <c r="AC13" i="16"/>
  <c r="AD13" i="16"/>
  <c r="AA13" i="16"/>
  <c r="AB13" i="16" s="1"/>
  <c r="AA16" i="16"/>
  <c r="AB16" i="16" s="1"/>
  <c r="AC16" i="16"/>
  <c r="AD16" i="16"/>
  <c r="AF16" i="16" s="1"/>
  <c r="AC21" i="16"/>
  <c r="AA21" i="16"/>
  <c r="AB21" i="16" s="1"/>
  <c r="AD21" i="16"/>
  <c r="AC28" i="16"/>
  <c r="AD28" i="16"/>
  <c r="AA28" i="16"/>
  <c r="AB28" i="16" s="1"/>
  <c r="AC23" i="16"/>
  <c r="AD23" i="16"/>
  <c r="AA23" i="16"/>
  <c r="AB23" i="16" s="1"/>
  <c r="AD24" i="16"/>
  <c r="AC24" i="16"/>
  <c r="AA24" i="16"/>
  <c r="AB24" i="16" s="1"/>
  <c r="AA25" i="16"/>
  <c r="AB25" i="16" s="1"/>
  <c r="AC25" i="16"/>
  <c r="AD25" i="16"/>
  <c r="AA20" i="16"/>
  <c r="AB20" i="16" s="1"/>
  <c r="AC20" i="16"/>
  <c r="AD20" i="16"/>
  <c r="AF20" i="16" s="1"/>
  <c r="K32" i="14"/>
  <c r="K20" i="14"/>
  <c r="K28" i="14"/>
  <c r="K21" i="14"/>
  <c r="K29" i="14"/>
  <c r="K34" i="14"/>
  <c r="K23" i="14"/>
  <c r="K19" i="14"/>
  <c r="K22" i="14"/>
  <c r="K30" i="14"/>
  <c r="K24" i="14"/>
  <c r="K31" i="14"/>
  <c r="K33" i="14"/>
  <c r="K25" i="14"/>
  <c r="K26" i="14"/>
  <c r="K28" i="17"/>
  <c r="O29" i="17"/>
  <c r="N30" i="17"/>
  <c r="N17" i="14"/>
  <c r="CJ12" i="7"/>
  <c r="CK12" i="7" s="1"/>
  <c r="CJ8" i="7"/>
  <c r="CK8" i="7" s="1"/>
  <c r="CJ13" i="7"/>
  <c r="CK13" i="7" s="1"/>
  <c r="CJ18" i="7"/>
  <c r="CK18" i="7" s="1"/>
  <c r="CJ11" i="7"/>
  <c r="CK11" i="7" s="1"/>
  <c r="CJ17" i="7"/>
  <c r="CK17" i="7" s="1"/>
  <c r="CJ7" i="7"/>
  <c r="CK7" i="7" s="1"/>
  <c r="CJ16" i="7"/>
  <c r="CK16" i="7" s="1"/>
  <c r="CJ9" i="7"/>
  <c r="CK9" i="7" s="1"/>
  <c r="CJ15" i="7"/>
  <c r="CK15" i="7" s="1"/>
  <c r="CJ10" i="7"/>
  <c r="CK10" i="7" s="1"/>
  <c r="CJ6" i="7"/>
  <c r="CK6" i="7" s="1"/>
  <c r="CJ14" i="7"/>
  <c r="CK14" i="7" s="1"/>
  <c r="CK2" i="7"/>
  <c r="K35" i="17"/>
  <c r="K35" i="14"/>
  <c r="J17" i="14"/>
  <c r="E17" i="14"/>
  <c r="C16" i="14"/>
  <c r="E16" i="14"/>
  <c r="E29" i="17"/>
  <c r="C28" i="17"/>
  <c r="D29" i="17"/>
  <c r="J29" i="17"/>
  <c r="D17" i="14"/>
  <c r="C15" i="14"/>
  <c r="J16" i="14"/>
  <c r="AF23" i="16" l="1"/>
  <c r="AF13" i="16"/>
  <c r="AF14" i="16"/>
  <c r="AF28" i="16"/>
  <c r="AF25" i="16"/>
  <c r="AF21" i="16"/>
  <c r="AF15" i="16"/>
  <c r="AF24" i="16"/>
  <c r="K29" i="17"/>
  <c r="O30" i="17"/>
  <c r="N31" i="17"/>
  <c r="N18" i="14"/>
  <c r="D30" i="17"/>
  <c r="J30" i="17"/>
  <c r="E18" i="14"/>
  <c r="C29" i="17"/>
  <c r="D18" i="14"/>
  <c r="C17" i="14"/>
  <c r="J18" i="14"/>
  <c r="J35" i="14"/>
  <c r="E30" i="17"/>
  <c r="N32" i="17" l="1"/>
  <c r="O31" i="17"/>
  <c r="K30" i="17"/>
  <c r="N19" i="14"/>
  <c r="E31" i="17"/>
  <c r="E19" i="14"/>
  <c r="D31" i="17"/>
  <c r="C18" i="14"/>
  <c r="C30" i="17"/>
  <c r="D19" i="14"/>
  <c r="J19" i="14"/>
  <c r="J31" i="17"/>
  <c r="N33" i="17" l="1"/>
  <c r="K31" i="17"/>
  <c r="O32" i="17"/>
  <c r="N20" i="14"/>
  <c r="C19" i="14"/>
  <c r="E20" i="14"/>
  <c r="D32" i="17"/>
  <c r="C31" i="17"/>
  <c r="J32" i="17"/>
  <c r="E32" i="17"/>
  <c r="K32" i="17" l="1"/>
  <c r="O33" i="17"/>
  <c r="N34" i="17"/>
  <c r="N21" i="14"/>
  <c r="C32" i="17"/>
  <c r="E21" i="14"/>
  <c r="J20" i="14"/>
  <c r="D20" i="14"/>
  <c r="J33" i="17"/>
  <c r="D33" i="17"/>
  <c r="E33" i="17"/>
  <c r="D21" i="14"/>
  <c r="J21" i="14"/>
  <c r="O34" i="17" l="1"/>
  <c r="K34" i="17" s="1"/>
  <c r="K33" i="17"/>
  <c r="N22" i="14"/>
  <c r="J22" i="14"/>
  <c r="J34" i="17"/>
  <c r="C33" i="17"/>
  <c r="C20" i="14"/>
  <c r="J35" i="17"/>
  <c r="D22" i="14"/>
  <c r="E34" i="17"/>
  <c r="D34" i="17"/>
  <c r="C21" i="14"/>
  <c r="E22" i="14"/>
  <c r="N23" i="14" l="1"/>
  <c r="J23" i="14"/>
  <c r="C22" i="14"/>
  <c r="D23" i="14"/>
  <c r="E23" i="14"/>
  <c r="C34" i="17"/>
  <c r="N24" i="14" l="1"/>
  <c r="D24" i="14"/>
  <c r="C23" i="14"/>
  <c r="N25" i="14" l="1"/>
  <c r="J24" i="14"/>
  <c r="C24" i="14"/>
  <c r="D25" i="14"/>
  <c r="E25" i="14"/>
  <c r="J25" i="14"/>
  <c r="E24" i="14"/>
  <c r="N26" i="14" l="1"/>
  <c r="E26" i="14"/>
  <c r="C25" i="14"/>
  <c r="J26" i="14"/>
  <c r="N27" i="14" l="1"/>
  <c r="D27" i="14"/>
  <c r="E27" i="14"/>
  <c r="J27" i="14"/>
  <c r="D26" i="14"/>
  <c r="N28" i="14" l="1"/>
  <c r="C26" i="14"/>
  <c r="D28" i="14"/>
  <c r="J28" i="14"/>
  <c r="C27" i="14"/>
  <c r="E28" i="14"/>
  <c r="N29" i="14" l="1"/>
  <c r="D29" i="14"/>
  <c r="E29" i="14"/>
  <c r="J29" i="14"/>
  <c r="C28" i="14"/>
  <c r="N30" i="14" l="1"/>
  <c r="C29" i="14"/>
  <c r="J30" i="14"/>
  <c r="N31" i="14" l="1"/>
  <c r="E31" i="14"/>
  <c r="E30" i="14"/>
  <c r="J31" i="14"/>
  <c r="D31" i="14"/>
  <c r="D30" i="14"/>
  <c r="N32" i="14" l="1"/>
  <c r="C30" i="14"/>
  <c r="E32" i="14"/>
  <c r="C31" i="14"/>
  <c r="D32" i="14"/>
  <c r="J32" i="14"/>
  <c r="N33" i="14" l="1"/>
  <c r="E33" i="14"/>
  <c r="J33" i="14"/>
  <c r="D33" i="14"/>
  <c r="C32" i="14"/>
  <c r="N34" i="14" l="1"/>
  <c r="E34" i="14"/>
  <c r="C33" i="14"/>
  <c r="N36" i="14" l="1"/>
  <c r="K36" i="14"/>
  <c r="J34" i="14"/>
  <c r="D34" i="14"/>
  <c r="C34" i="14"/>
</calcChain>
</file>

<file path=xl/comments1.xml><?xml version="1.0" encoding="utf-8"?>
<comments xmlns="http://schemas.openxmlformats.org/spreadsheetml/2006/main">
  <authors>
    <author>Windows User</author>
    <author>Phuong</author>
  </authors>
  <commentList>
    <comment ref="P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Nợ học phí kỳ 3 hủy điểm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học ghép k21 mcs
Hoãn thi, thi ghép k22mcs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cđ điểm ở K18MBA</t>
        </r>
      </text>
    </comment>
    <comment ref="N10" authorId="1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cđ điểm ở K18MBA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cđ điểm ở K18MBA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cđ điểm ở K18MBA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Windows Userbằng đại ĐH  Ngoại ngữ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<sst xmlns="http://schemas.openxmlformats.org/spreadsheetml/2006/main" count="453" uniqueCount="229">
  <si>
    <t>STT</t>
  </si>
  <si>
    <t>HỌ VÀ</t>
  </si>
  <si>
    <t>TÊN</t>
  </si>
  <si>
    <t>NGSINH</t>
  </si>
  <si>
    <t>L1</t>
  </si>
  <si>
    <t>L2</t>
  </si>
  <si>
    <t>L3</t>
  </si>
  <si>
    <t>MÃ HỌC
 VIÊN</t>
  </si>
  <si>
    <t>LUẬN VĂN TỐT NGHIỆP</t>
  </si>
  <si>
    <t>BỘ GIÁO DỤC &amp; ĐÀO TẠO</t>
  </si>
  <si>
    <t>TRƯỜNG ĐẠI HỌC DUY TÂN</t>
  </si>
  <si>
    <t>:</t>
  </si>
  <si>
    <t>Ngày, tháng, năm sinh</t>
  </si>
  <si>
    <t>Là học viên cao học khóa</t>
  </si>
  <si>
    <t>CỘNG HÒA XÃ HỘI CHỦ NGHĨA VIỆT NAM</t>
  </si>
  <si>
    <t>Độc lập - Tự do - Hạnh phúc</t>
  </si>
  <si>
    <t>BẢNG ĐIỂM CAO HỌC</t>
  </si>
  <si>
    <t>NƠI SINH</t>
  </si>
  <si>
    <t>ĐIỂM TỔNG KẾT</t>
  </si>
  <si>
    <t>TÊN LUẬN VĂN</t>
  </si>
  <si>
    <t>HỘI ĐỐNG</t>
  </si>
  <si>
    <t>CHỦ TỊCH HỘI ĐỐNG</t>
  </si>
  <si>
    <t>ỦY VIÊN THƯ KÝ</t>
  </si>
  <si>
    <t>ỦY VIÊN PHẢN BIỆN 1</t>
  </si>
  <si>
    <t>ỦY VIÊN PHẢN BIỆN 2</t>
  </si>
  <si>
    <t>1.</t>
  </si>
  <si>
    <t>2.</t>
  </si>
  <si>
    <t>3.</t>
  </si>
  <si>
    <t>4.</t>
  </si>
  <si>
    <t>5.</t>
  </si>
  <si>
    <t>Chủ tịch Hội đồng</t>
  </si>
  <si>
    <t>Ủy viên Thư ký</t>
  </si>
  <si>
    <t>Ủy viên Phản biện 1</t>
  </si>
  <si>
    <t>Ủy viên Phản biện 2</t>
  </si>
  <si>
    <t>NGÀY BÀO VỆ</t>
  </si>
  <si>
    <t>Ủy viên Hội đồng</t>
  </si>
  <si>
    <t>ỦY VIÊN HỘI ĐỒNG</t>
  </si>
  <si>
    <t>Nơi sinh</t>
  </si>
  <si>
    <t>Hình thức đào tạo</t>
  </si>
  <si>
    <t>MÃ
MÔN</t>
  </si>
  <si>
    <t>SỐ
HIỆU</t>
  </si>
  <si>
    <t>TÊN MÔN HỌC</t>
  </si>
  <si>
    <t>SỐ
TÍN CHỈ</t>
  </si>
  <si>
    <t>ĐIỂM MÔN HỌC</t>
  </si>
  <si>
    <t xml:space="preserve">  *  Điểm luận văn tốt nghiệp</t>
  </si>
  <si>
    <t>TL. HIỆU TRƯỞNG</t>
  </si>
  <si>
    <t>TP. ĐÀO TẠO ĐẠI HỌC &amp; SAU ĐẠI HỌC</t>
  </si>
  <si>
    <t>TS. Nguyễn Phi Sơn</t>
  </si>
  <si>
    <t>GIÓI TÍNH</t>
  </si>
  <si>
    <t>SỐ TC TÍCH LŨY</t>
  </si>
  <si>
    <t xml:space="preserve">  *  Điểm trung bình chung tích lũy các môn học</t>
  </si>
  <si>
    <t>Mã số học viên</t>
  </si>
  <si>
    <t>MÃ HV:</t>
  </si>
  <si>
    <t>Địa chỉ: 254 Nguyễn Văn Linh - TP Đà Nẵng
www.dtu.edu.vn - Tel: 0236.3650403</t>
  </si>
  <si>
    <t>Khoa học máy tính</t>
  </si>
  <si>
    <t>Triết học</t>
  </si>
  <si>
    <t>Tiếng Anh 1</t>
  </si>
  <si>
    <t>ENG601</t>
  </si>
  <si>
    <t>Tiếng Anh 2</t>
  </si>
  <si>
    <t>ENG602</t>
  </si>
  <si>
    <t>Tiếng Anh 3</t>
  </si>
  <si>
    <t>PHI600</t>
  </si>
  <si>
    <t xml:space="preserve">CHƯƠNG TRÌNH ĐÀO TẠO TRÌNH ĐỘ THẠC SĨ </t>
  </si>
  <si>
    <t>ĐẠI HỌC DUY TÂN</t>
  </si>
  <si>
    <t>CHUYÊN NGÀNH KHOA HỌC MÁY TÍNH</t>
  </si>
  <si>
    <t>MÃ CHUYÊN NGÀNH: 60.48.01.01</t>
  </si>
  <si>
    <t>( Ban hành kèm theo Quyết định số:             /QĐ-ĐHDT  ngày           tháng 12 năm 2014                               của Hiệu trưởng Trường Đại học Duy Tân )</t>
  </si>
  <si>
    <t xml:space="preserve"> </t>
  </si>
  <si>
    <t>TT</t>
  </si>
  <si>
    <t>Mã Học phần</t>
  </si>
  <si>
    <t>Tên học phần</t>
  </si>
  <si>
    <t>Số    Tín Chỉ</t>
  </si>
  <si>
    <t>Cụ Thể</t>
  </si>
  <si>
    <t>HỌC KỲ</t>
  </si>
  <si>
    <t>Chữ</t>
  </si>
  <si>
    <t>số</t>
  </si>
  <si>
    <t>Lý thuyết</t>
  </si>
  <si>
    <t>Thực hành</t>
  </si>
  <si>
    <t>A</t>
  </si>
  <si>
    <t>KIẾN THỨC CHUNG</t>
  </si>
  <si>
    <t>PHI</t>
  </si>
  <si>
    <t>ENG</t>
  </si>
  <si>
    <t xml:space="preserve">Tiếng Anh 2 </t>
  </si>
  <si>
    <t>Phương pháp luận NCKH</t>
  </si>
  <si>
    <t>B</t>
  </si>
  <si>
    <t>KIẾN THỨC CƠ SỞ</t>
  </si>
  <si>
    <t>I</t>
  </si>
  <si>
    <t>Học phần bắt buộc</t>
  </si>
  <si>
    <t>MTH</t>
  </si>
  <si>
    <t>Toán trong CNTT</t>
  </si>
  <si>
    <t>IS</t>
  </si>
  <si>
    <t>Cơ sở dữ liệu nâng cao</t>
  </si>
  <si>
    <t>CS</t>
  </si>
  <si>
    <t>Giải thuật nâng cao</t>
  </si>
  <si>
    <t>Mạng và truyền dữ liệu nâng cao</t>
  </si>
  <si>
    <t>Lập trình hướng đối tượng nâng cao</t>
  </si>
  <si>
    <t>II</t>
  </si>
  <si>
    <t>Học phần tự chọn ( 4 học phần)</t>
  </si>
  <si>
    <t>Học phần tự chọn 1</t>
  </si>
  <si>
    <t>Học phần tự chọn 2</t>
  </si>
  <si>
    <t>Học phần tự chọn 3</t>
  </si>
  <si>
    <t>C</t>
  </si>
  <si>
    <t>KIẾN THỨC CHUYÊN NGÀNH</t>
  </si>
  <si>
    <t>Công nghệ tri thức( Hệ chuyên gia)</t>
  </si>
  <si>
    <t>An toàn và bảo mật thông tin</t>
  </si>
  <si>
    <t>Xử lý ảnh</t>
  </si>
  <si>
    <t>Hệ phân tán</t>
  </si>
  <si>
    <t>Học phần tự chọn 4</t>
  </si>
  <si>
    <t>D</t>
  </si>
  <si>
    <t>TỔNG SỐ TÍN CHỈ</t>
  </si>
  <si>
    <t>DANH MỤC HỌC PHẦN TỰ CHỌN</t>
  </si>
  <si>
    <t>Học phần tự chọn kiến thức cơ sở</t>
  </si>
  <si>
    <t>Hệ hỗ trợ ra quyết định</t>
  </si>
  <si>
    <t>Cơ sở hệ thống thông minh</t>
  </si>
  <si>
    <t>Lý thuyết nhận dạng</t>
  </si>
  <si>
    <t>Phân tích thiết kế hướng đối tượng</t>
  </si>
  <si>
    <t>Xử lý ngôn ngữ tự nhiên</t>
  </si>
  <si>
    <t>SE</t>
  </si>
  <si>
    <t>Công nghệ và lập trình Internet</t>
  </si>
  <si>
    <t>Logic mờ</t>
  </si>
  <si>
    <t>Học phần tự chọn kiến thức chuyên ngành</t>
  </si>
  <si>
    <t>Mạng không dây nâng cao</t>
  </si>
  <si>
    <t>Kiến trúc phần mềm</t>
  </si>
  <si>
    <t>An ninh Internet</t>
  </si>
  <si>
    <t>Khai phá dữ liệu</t>
  </si>
  <si>
    <t>Quản lý dự án CNTT</t>
  </si>
  <si>
    <t>Web ngữ nghĩa và ứng dụng</t>
  </si>
  <si>
    <t>Điện toán đám mây</t>
  </si>
  <si>
    <t>Truyền thông đa phương tiện</t>
  </si>
  <si>
    <t>Kiểm thử phần mềm</t>
  </si>
  <si>
    <t xml:space="preserve">                                                                                                       KT. HIỆU TRƯỞNG</t>
  </si>
  <si>
    <t xml:space="preserve">                                                                                                      PHÓ HIỆU TRƯỞNG</t>
  </si>
  <si>
    <t>CS669</t>
  </si>
  <si>
    <t>Khai mỏ dữ liệu</t>
  </si>
  <si>
    <t>IS722</t>
  </si>
  <si>
    <t>CS676</t>
  </si>
  <si>
    <t>CS641</t>
  </si>
  <si>
    <t>IS701</t>
  </si>
  <si>
    <t>Cấu trúc dữ liệu &amp; giải thuật nâng cao</t>
  </si>
  <si>
    <t>CS616</t>
  </si>
  <si>
    <t>CS672</t>
  </si>
  <si>
    <t>Lý thuyết nhận dạng( xử lý ảnh)</t>
  </si>
  <si>
    <t>Lập trình hướng đối tượng</t>
  </si>
  <si>
    <t>CS511</t>
  </si>
  <si>
    <t>Các mô hình ra quyết định</t>
  </si>
  <si>
    <t>MGO703</t>
  </si>
  <si>
    <t>Hệ chuyên gia</t>
  </si>
  <si>
    <t>IS735</t>
  </si>
  <si>
    <t>Phân tích &amp; thiết kế hệ thống &amp; hướng đối tượng</t>
  </si>
  <si>
    <t>Quản lý dự án phần mềm</t>
  </si>
  <si>
    <t>IS632</t>
  </si>
  <si>
    <t>Kiểm thử &amp; đảm bảo chất lượng phần mềm</t>
  </si>
  <si>
    <t>CS663</t>
  </si>
  <si>
    <t>CS723</t>
  </si>
  <si>
    <t>Phương pháp luận nghiên cứu khoa học</t>
  </si>
  <si>
    <t>CS753</t>
  </si>
  <si>
    <t>Ngành đào tạo</t>
  </si>
  <si>
    <t>Loại chương trình đào tạo</t>
  </si>
  <si>
    <t>Định hướng nghiên cứu</t>
  </si>
  <si>
    <t>GHI CHÚ</t>
  </si>
  <si>
    <t>Chính quy</t>
  </si>
  <si>
    <t>CS720</t>
  </si>
  <si>
    <t>PHI550</t>
  </si>
  <si>
    <t>'K20MCS'</t>
  </si>
  <si>
    <t>2019 - 2021</t>
  </si>
  <si>
    <t>Nguyễn Văn</t>
  </si>
  <si>
    <t>Nam</t>
  </si>
  <si>
    <t>Bổn</t>
  </si>
  <si>
    <t>Lê Thanh</t>
  </si>
  <si>
    <t>Hiệu</t>
  </si>
  <si>
    <t>Nguyễn</t>
  </si>
  <si>
    <t>Lào</t>
  </si>
  <si>
    <t>Trương Ngọc</t>
  </si>
  <si>
    <t>Minh</t>
  </si>
  <si>
    <t>Nguyễn Thị Yến</t>
  </si>
  <si>
    <t>Nga</t>
  </si>
  <si>
    <t>Nữ</t>
  </si>
  <si>
    <t>20/11/1986</t>
  </si>
  <si>
    <t>Phạm Thị Mỹ</t>
  </si>
  <si>
    <t>Sen</t>
  </si>
  <si>
    <t>Trần Thanh</t>
  </si>
  <si>
    <t>Sơn</t>
  </si>
  <si>
    <t>Trần Anh</t>
  </si>
  <si>
    <t>Tín</t>
  </si>
  <si>
    <t>Trịnh Minh</t>
  </si>
  <si>
    <t>Tuấn</t>
  </si>
  <si>
    <t>09/12/1994</t>
  </si>
  <si>
    <t>Nguyễn Thanh</t>
  </si>
  <si>
    <t>Thanh</t>
  </si>
  <si>
    <t>08/11/1992</t>
  </si>
  <si>
    <t>Hà Lê</t>
  </si>
  <si>
    <t>Trung</t>
  </si>
  <si>
    <t>Ngô Ái</t>
  </si>
  <si>
    <t>Vân</t>
  </si>
  <si>
    <t>18/10/1979</t>
  </si>
  <si>
    <t>Phạm Hồng</t>
  </si>
  <si>
    <t>Vũ</t>
  </si>
  <si>
    <t>17/12/1978</t>
  </si>
  <si>
    <t>Quảng Nam</t>
  </si>
  <si>
    <t>Đà Nẵng</t>
  </si>
  <si>
    <t>Huế</t>
  </si>
  <si>
    <t>ĐẠT</t>
  </si>
  <si>
    <t>BẢNG ĐIỂM HỌC TẬP TOÀN KHÓA HỌC - CHƯƠNG TRÌNH ĐÀO TẠO THẠC SĨ</t>
  </si>
  <si>
    <t>ENG701</t>
  </si>
  <si>
    <t>MHV</t>
  </si>
  <si>
    <t>Họ</t>
  </si>
  <si>
    <t>Tên</t>
  </si>
  <si>
    <t>Ngày sinh</t>
  </si>
  <si>
    <t>Số TC tích lũy toàn khóa</t>
  </si>
  <si>
    <t>SỐ MÔN NỢ</t>
  </si>
  <si>
    <t>SỐ TÍN CHỈ NỢ</t>
  </si>
  <si>
    <t>ANH VĂN B1</t>
  </si>
  <si>
    <t>XÉT ĐIỀU KIỆN BẢO VỆ LUẬN VĂN</t>
  </si>
  <si>
    <t>STC</t>
  </si>
  <si>
    <t>KT. HIỆU TRƯỞNG</t>
  </si>
  <si>
    <t>NGƯỜI LẬP</t>
  </si>
  <si>
    <t>LÃNH ĐẠO  BAN SĐH</t>
  </si>
  <si>
    <t>PHÒNG KẾ HOẠCH TÀI CHÍNH</t>
  </si>
  <si>
    <t>P. HIỆU TRƯỞNG</t>
  </si>
  <si>
    <t>Huỳnh Thị Tú</t>
  </si>
  <si>
    <t>TS. Hồ văn Nhàn</t>
  </si>
  <si>
    <t>Th.S Mai Hoàng Hải</t>
  </si>
  <si>
    <t>TS. Võ Thanh Hải</t>
  </si>
  <si>
    <t>KHÓA K20MCS * NGÀNH: KHOA HỌC MÁY TÍNH</t>
  </si>
  <si>
    <t>DIỆN ĐỦ ĐIỀU KIỆN BẢO VỆ LUẬN VĂN ĐỢT THÁNG 03/2022</t>
  </si>
  <si>
    <t>P</t>
  </si>
  <si>
    <t>Thời gian
 thi B1</t>
  </si>
  <si>
    <t>TRƯỞNG BAN SAU ĐẠI HỌC</t>
  </si>
  <si>
    <t>TS. Hồ Văn Nhàn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</si>
</sst>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  <numFmt numFmtId="185" formatCode="000"/>
    <numFmt numFmtId="186" formatCode="#,##0.0"/>
  </numFmts>
  <fonts count="98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b/>
      <sz val="12"/>
      <name val="Times New Roman"/>
      <family val="1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theme="1"/>
      <name val="Times New Roman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0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name val="Times New Roman"/>
      <family val="1"/>
      <charset val="163"/>
    </font>
    <font>
      <b/>
      <sz val="10"/>
      <name val="Arial"/>
      <family val="2"/>
      <charset val="163"/>
    </font>
    <font>
      <b/>
      <u/>
      <sz val="8"/>
      <name val="Times New Roman"/>
      <family val="1"/>
      <charset val="163"/>
    </font>
    <font>
      <sz val="9"/>
      <name val="Times New Roman"/>
      <family val="1"/>
      <charset val="163"/>
    </font>
    <font>
      <b/>
      <sz val="6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  <charset val="163"/>
    </font>
    <font>
      <i/>
      <sz val="9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1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72" fillId="0" borderId="0"/>
    <xf numFmtId="0" fontId="66" fillId="0" borderId="0"/>
    <xf numFmtId="0" fontId="49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</cellStyleXfs>
  <cellXfs count="343">
    <xf numFmtId="0" fontId="0" fillId="0" borderId="0" xfId="0"/>
    <xf numFmtId="0" fontId="46" fillId="0" borderId="0" xfId="85" applyFont="1" applyBorder="1" applyAlignment="1">
      <alignment horizontal="center"/>
    </xf>
    <xf numFmtId="184" fontId="46" fillId="0" borderId="0" xfId="85" applyNumberFormat="1" applyFont="1" applyBorder="1"/>
    <xf numFmtId="0" fontId="47" fillId="0" borderId="0" xfId="85" applyFont="1" applyFill="1" applyBorder="1" applyAlignment="1">
      <alignment horizontal="left"/>
    </xf>
    <xf numFmtId="14" fontId="46" fillId="0" borderId="0" xfId="85" applyNumberFormat="1" applyFont="1" applyBorder="1" applyAlignment="1">
      <alignment horizontal="center"/>
    </xf>
    <xf numFmtId="0" fontId="46" fillId="0" borderId="0" xfId="85" applyFont="1" applyBorder="1"/>
    <xf numFmtId="0" fontId="52" fillId="27" borderId="6" xfId="0" applyFont="1" applyFill="1" applyBorder="1" applyAlignment="1">
      <alignment vertical="center"/>
    </xf>
    <xf numFmtId="0" fontId="52" fillId="28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2" fillId="27" borderId="6" xfId="0" applyFont="1" applyFill="1" applyBorder="1" applyAlignment="1">
      <alignment horizontal="center" vertical="center" textRotation="90"/>
    </xf>
    <xf numFmtId="0" fontId="46" fillId="0" borderId="0" xfId="85" applyFont="1" applyFill="1" applyBorder="1" applyAlignment="1">
      <alignment horizontal="center"/>
    </xf>
    <xf numFmtId="184" fontId="46" fillId="0" borderId="0" xfId="85" applyNumberFormat="1" applyFont="1" applyFill="1" applyBorder="1"/>
    <xf numFmtId="0" fontId="46" fillId="0" borderId="0" xfId="85" applyFont="1" applyFill="1" applyBorder="1"/>
    <xf numFmtId="14" fontId="46" fillId="0" borderId="0" xfId="85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2" fillId="28" borderId="0" xfId="0" applyFont="1" applyFill="1" applyAlignment="1">
      <alignment horizontal="center"/>
    </xf>
    <xf numFmtId="0" fontId="46" fillId="27" borderId="0" xfId="85" applyFont="1" applyFill="1" applyBorder="1" applyAlignment="1">
      <alignment horizontal="center"/>
    </xf>
    <xf numFmtId="184" fontId="46" fillId="27" borderId="0" xfId="85" applyNumberFormat="1" applyFont="1" applyFill="1" applyBorder="1"/>
    <xf numFmtId="0" fontId="46" fillId="27" borderId="0" xfId="85" applyFont="1" applyFill="1" applyBorder="1"/>
    <xf numFmtId="0" fontId="47" fillId="27" borderId="0" xfId="85" applyFont="1" applyFill="1" applyBorder="1" applyAlignment="1">
      <alignment horizontal="left"/>
    </xf>
    <xf numFmtId="14" fontId="46" fillId="27" borderId="0" xfId="85" applyNumberFormat="1" applyFont="1" applyFill="1" applyBorder="1" applyAlignment="1">
      <alignment horizontal="center"/>
    </xf>
    <xf numFmtId="0" fontId="28" fillId="27" borderId="0" xfId="0" applyFont="1" applyFill="1" applyAlignment="1">
      <alignment horizontal="center"/>
    </xf>
    <xf numFmtId="0" fontId="52" fillId="27" borderId="0" xfId="0" applyFont="1" applyFill="1" applyAlignment="1">
      <alignment horizontal="center"/>
    </xf>
    <xf numFmtId="0" fontId="53" fillId="0" borderId="0" xfId="85" applyFont="1" applyBorder="1" applyAlignment="1">
      <alignment horizontal="center"/>
    </xf>
    <xf numFmtId="1" fontId="53" fillId="0" borderId="0" xfId="85" applyNumberFormat="1" applyFont="1" applyBorder="1" applyAlignment="1">
      <alignment horizontal="center"/>
    </xf>
    <xf numFmtId="0" fontId="53" fillId="0" borderId="0" xfId="85" applyFont="1" applyBorder="1"/>
    <xf numFmtId="0" fontId="55" fillId="0" borderId="0" xfId="83" applyFont="1" applyAlignment="1">
      <alignment vertical="center"/>
    </xf>
    <xf numFmtId="0" fontId="56" fillId="0" borderId="0" xfId="83" applyFont="1" applyAlignment="1">
      <alignment vertical="center"/>
    </xf>
    <xf numFmtId="0" fontId="73" fillId="0" borderId="0" xfId="83" applyFont="1"/>
    <xf numFmtId="0" fontId="58" fillId="0" borderId="0" xfId="83" applyFont="1" applyAlignment="1">
      <alignment vertical="center"/>
    </xf>
    <xf numFmtId="0" fontId="74" fillId="0" borderId="0" xfId="83" applyFont="1"/>
    <xf numFmtId="0" fontId="59" fillId="0" borderId="0" xfId="83" applyFont="1" applyAlignment="1">
      <alignment vertical="center"/>
    </xf>
    <xf numFmtId="0" fontId="60" fillId="0" borderId="0" xfId="83" applyFont="1" applyAlignment="1">
      <alignment vertical="center"/>
    </xf>
    <xf numFmtId="0" fontId="59" fillId="0" borderId="0" xfId="83" applyFont="1"/>
    <xf numFmtId="0" fontId="28" fillId="0" borderId="0" xfId="85" applyFont="1" applyAlignment="1">
      <alignment vertical="center"/>
    </xf>
    <xf numFmtId="0" fontId="28" fillId="0" borderId="0" xfId="85" applyFont="1"/>
    <xf numFmtId="185" fontId="28" fillId="0" borderId="12" xfId="0" applyNumberFormat="1" applyFont="1" applyFill="1" applyBorder="1" applyAlignment="1">
      <alignment horizontal="center" vertical="center" wrapText="1"/>
    </xf>
    <xf numFmtId="185" fontId="28" fillId="0" borderId="14" xfId="0" applyNumberFormat="1" applyFont="1" applyFill="1" applyBorder="1" applyAlignment="1">
      <alignment horizontal="center" vertical="center" wrapText="1"/>
    </xf>
    <xf numFmtId="0" fontId="57" fillId="0" borderId="0" xfId="83" applyFont="1" applyAlignment="1">
      <alignment horizontal="center" vertical="center" wrapText="1"/>
    </xf>
    <xf numFmtId="0" fontId="54" fillId="0" borderId="0" xfId="83" applyFont="1" applyAlignment="1">
      <alignment horizontal="center" vertical="center"/>
    </xf>
    <xf numFmtId="0" fontId="50" fillId="0" borderId="0" xfId="83" applyFont="1" applyAlignment="1">
      <alignment vertical="center"/>
    </xf>
    <xf numFmtId="0" fontId="57" fillId="0" borderId="0" xfId="83" applyFont="1" applyAlignment="1">
      <alignment vertical="center" wrapText="1"/>
    </xf>
    <xf numFmtId="0" fontId="75" fillId="0" borderId="0" xfId="83" applyFont="1"/>
    <xf numFmtId="0" fontId="63" fillId="0" borderId="0" xfId="83" applyFont="1" applyAlignment="1">
      <alignment horizontal="center" vertical="center"/>
    </xf>
    <xf numFmtId="0" fontId="63" fillId="0" borderId="0" xfId="83" applyFont="1" applyAlignment="1">
      <alignment vertical="center"/>
    </xf>
    <xf numFmtId="0" fontId="65" fillId="0" borderId="0" xfId="83" applyFont="1" applyAlignment="1">
      <alignment vertical="center"/>
    </xf>
    <xf numFmtId="0" fontId="76" fillId="0" borderId="0" xfId="83" applyFont="1"/>
    <xf numFmtId="0" fontId="64" fillId="0" borderId="0" xfId="83" applyFont="1" applyAlignment="1">
      <alignment vertical="center"/>
    </xf>
    <xf numFmtId="0" fontId="61" fillId="0" borderId="0" xfId="83" applyFont="1" applyAlignment="1">
      <alignment vertical="center" wrapText="1"/>
    </xf>
    <xf numFmtId="0" fontId="61" fillId="0" borderId="0" xfId="83" applyFont="1" applyBorder="1" applyAlignment="1">
      <alignment vertical="center" wrapText="1"/>
    </xf>
    <xf numFmtId="0" fontId="50" fillId="0" borderId="0" xfId="83" applyFont="1" applyBorder="1" applyAlignment="1">
      <alignment vertical="center"/>
    </xf>
    <xf numFmtId="0" fontId="57" fillId="0" borderId="0" xfId="83" applyFont="1" applyBorder="1" applyAlignment="1">
      <alignment vertical="center" wrapText="1"/>
    </xf>
    <xf numFmtId="0" fontId="75" fillId="0" borderId="0" xfId="83" applyFont="1" applyAlignment="1">
      <alignment vertical="center"/>
    </xf>
    <xf numFmtId="0" fontId="77" fillId="0" borderId="0" xfId="83" applyFont="1" applyAlignment="1">
      <alignment vertical="center"/>
    </xf>
    <xf numFmtId="0" fontId="62" fillId="0" borderId="0" xfId="83" applyFont="1" applyAlignment="1">
      <alignment vertical="center"/>
    </xf>
    <xf numFmtId="0" fontId="67" fillId="0" borderId="0" xfId="84" applyFont="1" applyAlignment="1">
      <alignment horizontal="center"/>
    </xf>
    <xf numFmtId="0" fontId="60" fillId="0" borderId="0" xfId="83" applyFont="1" applyBorder="1" applyAlignment="1">
      <alignment vertical="center"/>
    </xf>
    <xf numFmtId="0" fontId="54" fillId="0" borderId="0" xfId="83" applyFont="1" applyBorder="1" applyAlignment="1">
      <alignment vertical="center"/>
    </xf>
    <xf numFmtId="14" fontId="54" fillId="0" borderId="0" xfId="83" applyNumberFormat="1" applyFont="1" applyBorder="1" applyAlignment="1">
      <alignment horizontal="left" vertical="center"/>
    </xf>
    <xf numFmtId="14" fontId="58" fillId="0" borderId="0" xfId="83" applyNumberFormat="1" applyFont="1" applyBorder="1" applyAlignment="1">
      <alignment vertical="center"/>
    </xf>
    <xf numFmtId="0" fontId="58" fillId="0" borderId="0" xfId="83" applyFont="1" applyAlignment="1">
      <alignment horizontal="center" vertical="center"/>
    </xf>
    <xf numFmtId="0" fontId="47" fillId="0" borderId="0" xfId="84" applyFont="1" applyAlignment="1">
      <alignment horizontal="center"/>
    </xf>
    <xf numFmtId="0" fontId="46" fillId="0" borderId="0" xfId="84" applyFont="1" applyAlignment="1">
      <alignment horizontal="center"/>
    </xf>
    <xf numFmtId="0" fontId="47" fillId="0" borderId="0" xfId="84" applyFont="1" applyAlignment="1">
      <alignment horizontal="center" vertical="center"/>
    </xf>
    <xf numFmtId="0" fontId="78" fillId="0" borderId="0" xfId="83" applyFont="1" applyAlignment="1">
      <alignment vertical="center"/>
    </xf>
    <xf numFmtId="0" fontId="52" fillId="29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83" fontId="52" fillId="0" borderId="12" xfId="0" applyNumberFormat="1" applyFont="1" applyBorder="1" applyAlignment="1">
      <alignment horizontal="center" vertical="center"/>
    </xf>
    <xf numFmtId="0" fontId="75" fillId="0" borderId="0" xfId="83" applyFont="1" applyAlignment="1">
      <alignment horizontal="left"/>
    </xf>
    <xf numFmtId="49" fontId="62" fillId="0" borderId="0" xfId="83" applyNumberFormat="1" applyFont="1" applyAlignment="1">
      <alignment horizontal="center" vertical="center"/>
    </xf>
    <xf numFmtId="0" fontId="53" fillId="27" borderId="0" xfId="85" applyFont="1" applyFill="1" applyBorder="1" applyAlignment="1">
      <alignment horizontal="center"/>
    </xf>
    <xf numFmtId="1" fontId="53" fillId="27" borderId="0" xfId="85" applyNumberFormat="1" applyFont="1" applyFill="1" applyBorder="1" applyAlignment="1">
      <alignment horizontal="center"/>
    </xf>
    <xf numFmtId="0" fontId="53" fillId="27" borderId="0" xfId="85" applyFont="1" applyFill="1" applyBorder="1"/>
    <xf numFmtId="0" fontId="28" fillId="27" borderId="0" xfId="85" applyFont="1" applyFill="1" applyAlignment="1">
      <alignment vertical="center"/>
    </xf>
    <xf numFmtId="0" fontId="52" fillId="27" borderId="6" xfId="85" applyFont="1" applyFill="1" applyBorder="1" applyAlignment="1">
      <alignment horizontal="center" vertical="center"/>
    </xf>
    <xf numFmtId="0" fontId="28" fillId="27" borderId="13" xfId="85" applyFont="1" applyFill="1" applyBorder="1" applyAlignment="1">
      <alignment horizontal="center" vertical="center"/>
    </xf>
    <xf numFmtId="0" fontId="28" fillId="27" borderId="17" xfId="0" applyFont="1" applyFill="1" applyBorder="1" applyAlignment="1">
      <alignment horizontal="left" vertical="center" wrapText="1"/>
    </xf>
    <xf numFmtId="0" fontId="52" fillId="27" borderId="18" xfId="0" applyFont="1" applyFill="1" applyBorder="1" applyAlignment="1">
      <alignment horizontal="left" vertical="center" wrapText="1"/>
    </xf>
    <xf numFmtId="14" fontId="28" fillId="27" borderId="13" xfId="0" applyNumberFormat="1" applyFont="1" applyFill="1" applyBorder="1" applyAlignment="1">
      <alignment horizontal="center" vertical="center" wrapText="1"/>
    </xf>
    <xf numFmtId="14" fontId="28" fillId="27" borderId="12" xfId="0" applyNumberFormat="1" applyFont="1" applyFill="1" applyBorder="1" applyAlignment="1">
      <alignment horizontal="center" vertical="center" wrapText="1"/>
    </xf>
    <xf numFmtId="0" fontId="28" fillId="27" borderId="19" xfId="85" applyFont="1" applyFill="1" applyBorder="1" applyAlignment="1">
      <alignment vertical="center"/>
    </xf>
    <xf numFmtId="0" fontId="28" fillId="27" borderId="20" xfId="85" applyFont="1" applyFill="1" applyBorder="1" applyAlignment="1">
      <alignment vertical="center"/>
    </xf>
    <xf numFmtId="0" fontId="28" fillId="27" borderId="21" xfId="85" applyFont="1" applyFill="1" applyBorder="1" applyAlignment="1">
      <alignment vertical="center"/>
    </xf>
    <xf numFmtId="14" fontId="28" fillId="27" borderId="19" xfId="85" applyNumberFormat="1" applyFont="1" applyFill="1" applyBorder="1" applyAlignment="1">
      <alignment vertical="center"/>
    </xf>
    <xf numFmtId="0" fontId="28" fillId="27" borderId="12" xfId="85" applyFont="1" applyFill="1" applyBorder="1" applyAlignment="1">
      <alignment vertical="center"/>
    </xf>
    <xf numFmtId="0" fontId="28" fillId="27" borderId="17" xfId="85" applyFont="1" applyFill="1" applyBorder="1" applyAlignment="1">
      <alignment vertical="center"/>
    </xf>
    <xf numFmtId="0" fontId="28" fillId="27" borderId="13" xfId="85" applyFont="1" applyFill="1" applyBorder="1" applyAlignment="1">
      <alignment vertical="center"/>
    </xf>
    <xf numFmtId="14" fontId="28" fillId="27" borderId="12" xfId="85" applyNumberFormat="1" applyFont="1" applyFill="1" applyBorder="1" applyAlignment="1">
      <alignment vertical="center"/>
    </xf>
    <xf numFmtId="0" fontId="52" fillId="27" borderId="22" xfId="85" applyFont="1" applyFill="1" applyBorder="1" applyAlignment="1">
      <alignment horizontal="center" vertical="center"/>
    </xf>
    <xf numFmtId="0" fontId="28" fillId="27" borderId="23" xfId="85" applyFont="1" applyFill="1" applyBorder="1" applyAlignment="1">
      <alignment vertical="center"/>
    </xf>
    <xf numFmtId="0" fontId="28" fillId="27" borderId="18" xfId="85" applyFont="1" applyFill="1" applyBorder="1" applyAlignment="1">
      <alignment vertical="center"/>
    </xf>
    <xf numFmtId="0" fontId="28" fillId="27" borderId="14" xfId="85" applyFont="1" applyFill="1" applyBorder="1" applyAlignment="1">
      <alignment vertical="center"/>
    </xf>
    <xf numFmtId="0" fontId="28" fillId="27" borderId="24" xfId="85" applyFont="1" applyFill="1" applyBorder="1" applyAlignment="1">
      <alignment horizontal="center" vertical="center"/>
    </xf>
    <xf numFmtId="0" fontId="28" fillId="27" borderId="25" xfId="85" applyFont="1" applyFill="1" applyBorder="1" applyAlignment="1">
      <alignment vertical="center"/>
    </xf>
    <xf numFmtId="0" fontId="28" fillId="27" borderId="24" xfId="85" applyFont="1" applyFill="1" applyBorder="1" applyAlignment="1">
      <alignment vertical="center"/>
    </xf>
    <xf numFmtId="0" fontId="28" fillId="27" borderId="27" xfId="85" applyFont="1" applyFill="1" applyBorder="1" applyAlignment="1">
      <alignment vertical="center"/>
    </xf>
    <xf numFmtId="14" fontId="28" fillId="27" borderId="12" xfId="85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52" fillId="27" borderId="6" xfId="0" applyFont="1" applyFill="1" applyBorder="1" applyAlignment="1">
      <alignment horizontal="center" vertical="center"/>
    </xf>
    <xf numFmtId="0" fontId="28" fillId="27" borderId="26" xfId="85" applyFont="1" applyFill="1" applyBorder="1" applyAlignment="1">
      <alignment vertical="center"/>
    </xf>
    <xf numFmtId="14" fontId="28" fillId="27" borderId="14" xfId="85" applyNumberFormat="1" applyFont="1" applyFill="1" applyBorder="1" applyAlignment="1">
      <alignment vertical="center"/>
    </xf>
    <xf numFmtId="0" fontId="28" fillId="0" borderId="13" xfId="85" applyFont="1" applyBorder="1" applyAlignment="1">
      <alignment vertical="center"/>
    </xf>
    <xf numFmtId="0" fontId="28" fillId="0" borderId="18" xfId="85" applyFont="1" applyBorder="1" applyAlignment="1">
      <alignment horizontal="center" vertical="center"/>
    </xf>
    <xf numFmtId="0" fontId="28" fillId="30" borderId="6" xfId="0" applyFont="1" applyFill="1" applyBorder="1" applyAlignment="1">
      <alignment vertical="center"/>
    </xf>
    <xf numFmtId="0" fontId="52" fillId="30" borderId="6" xfId="0" applyFont="1" applyFill="1" applyBorder="1" applyAlignment="1">
      <alignment vertical="center"/>
    </xf>
    <xf numFmtId="0" fontId="52" fillId="30" borderId="6" xfId="0" applyFont="1" applyFill="1" applyBorder="1" applyAlignment="1">
      <alignment horizontal="center" vertical="center" textRotation="90"/>
    </xf>
    <xf numFmtId="0" fontId="54" fillId="0" borderId="6" xfId="83" applyFont="1" applyFill="1" applyBorder="1" applyAlignment="1">
      <alignment horizontal="center" vertical="center" wrapText="1"/>
    </xf>
    <xf numFmtId="0" fontId="60" fillId="0" borderId="19" xfId="83" applyFont="1" applyBorder="1" applyAlignment="1">
      <alignment horizontal="center" vertical="center"/>
    </xf>
    <xf numFmtId="0" fontId="28" fillId="0" borderId="12" xfId="82" applyFont="1" applyBorder="1" applyAlignment="1">
      <alignment horizontal="center" vertical="center"/>
    </xf>
    <xf numFmtId="0" fontId="28" fillId="0" borderId="13" xfId="82" applyFont="1" applyBorder="1" applyAlignment="1">
      <alignment vertical="center"/>
    </xf>
    <xf numFmtId="0" fontId="28" fillId="0" borderId="18" xfId="82" applyFont="1" applyBorder="1" applyAlignment="1">
      <alignment vertical="center"/>
    </xf>
    <xf numFmtId="0" fontId="60" fillId="0" borderId="12" xfId="83" applyFont="1" applyBorder="1" applyAlignment="1">
      <alignment horizontal="center" vertical="center"/>
    </xf>
    <xf numFmtId="0" fontId="58" fillId="0" borderId="28" xfId="83" applyFont="1" applyBorder="1" applyAlignment="1">
      <alignment vertical="center"/>
    </xf>
    <xf numFmtId="0" fontId="58" fillId="0" borderId="4" xfId="83" applyFont="1" applyBorder="1" applyAlignment="1">
      <alignment vertical="center"/>
    </xf>
    <xf numFmtId="0" fontId="58" fillId="0" borderId="22" xfId="83" applyFont="1" applyBorder="1" applyAlignment="1">
      <alignment vertical="center"/>
    </xf>
    <xf numFmtId="0" fontId="58" fillId="0" borderId="6" xfId="83" applyFont="1" applyBorder="1" applyAlignment="1">
      <alignment horizontal="center" vertical="center"/>
    </xf>
    <xf numFmtId="0" fontId="77" fillId="28" borderId="0" xfId="83" quotePrefix="1" applyFont="1" applyFill="1" applyAlignment="1">
      <alignment vertical="center"/>
    </xf>
    <xf numFmtId="0" fontId="28" fillId="0" borderId="16" xfId="82" applyFont="1" applyFill="1" applyBorder="1" applyAlignment="1">
      <alignment horizontal="center" vertical="center"/>
    </xf>
    <xf numFmtId="183" fontId="60" fillId="0" borderId="16" xfId="83" applyNumberFormat="1" applyFont="1" applyBorder="1" applyAlignment="1">
      <alignment horizontal="center" vertical="center"/>
    </xf>
    <xf numFmtId="1" fontId="52" fillId="29" borderId="12" xfId="0" applyNumberFormat="1" applyFont="1" applyFill="1" applyBorder="1" applyAlignment="1">
      <alignment horizontal="center" vertical="center"/>
    </xf>
    <xf numFmtId="0" fontId="79" fillId="0" borderId="0" xfId="83" applyFont="1" applyAlignment="1"/>
    <xf numFmtId="14" fontId="71" fillId="0" borderId="0" xfId="83" applyNumberFormat="1" applyFont="1" applyBorder="1" applyAlignment="1"/>
    <xf numFmtId="14" fontId="70" fillId="0" borderId="0" xfId="83" applyNumberFormat="1" applyFont="1" applyBorder="1" applyAlignment="1"/>
    <xf numFmtId="185" fontId="68" fillId="0" borderId="0" xfId="82" applyNumberFormat="1" applyFont="1" applyFill="1" applyBorder="1" applyAlignment="1">
      <alignment vertical="center" wrapText="1"/>
    </xf>
    <xf numFmtId="0" fontId="77" fillId="28" borderId="0" xfId="83" applyFont="1" applyFill="1" applyAlignment="1">
      <alignment vertical="center"/>
    </xf>
    <xf numFmtId="185" fontId="71" fillId="0" borderId="0" xfId="83" applyNumberFormat="1" applyFont="1" applyBorder="1" applyAlignment="1"/>
    <xf numFmtId="0" fontId="80" fillId="0" borderId="0" xfId="82" applyFont="1" applyFill="1" applyAlignment="1">
      <alignment vertical="center"/>
    </xf>
    <xf numFmtId="0" fontId="80" fillId="0" borderId="0" xfId="82" applyFont="1" applyAlignment="1">
      <alignment vertical="center"/>
    </xf>
    <xf numFmtId="0" fontId="46" fillId="0" borderId="0" xfId="82" applyFont="1" applyFill="1" applyAlignment="1">
      <alignment horizontal="center" vertical="center"/>
    </xf>
    <xf numFmtId="0" fontId="47" fillId="0" borderId="0" xfId="82" applyFont="1" applyFill="1" applyAlignment="1">
      <alignment vertical="center"/>
    </xf>
    <xf numFmtId="0" fontId="46" fillId="0" borderId="0" xfId="82" applyFont="1" applyAlignment="1">
      <alignment vertical="center"/>
    </xf>
    <xf numFmtId="0" fontId="45" fillId="0" borderId="0" xfId="82" applyFont="1" applyAlignment="1">
      <alignment vertical="center"/>
    </xf>
    <xf numFmtId="0" fontId="81" fillId="0" borderId="6" xfId="82" applyFont="1" applyBorder="1" applyAlignment="1">
      <alignment horizontal="center" vertical="center" wrapText="1"/>
    </xf>
    <xf numFmtId="0" fontId="50" fillId="0" borderId="6" xfId="82" applyFont="1" applyBorder="1" applyAlignment="1">
      <alignment horizontal="center" vertical="center" wrapText="1"/>
    </xf>
    <xf numFmtId="0" fontId="50" fillId="0" borderId="6" xfId="82" applyFont="1" applyBorder="1" applyAlignment="1">
      <alignment horizontal="center" vertical="center"/>
    </xf>
    <xf numFmtId="0" fontId="50" fillId="0" borderId="6" xfId="82" applyFont="1" applyBorder="1" applyAlignment="1">
      <alignment vertical="center" wrapText="1"/>
    </xf>
    <xf numFmtId="0" fontId="45" fillId="0" borderId="6" xfId="82" applyFont="1" applyBorder="1" applyAlignment="1">
      <alignment horizontal="center" vertical="center" wrapText="1"/>
    </xf>
    <xf numFmtId="0" fontId="45" fillId="0" borderId="6" xfId="82" applyFont="1" applyBorder="1" applyAlignment="1">
      <alignment horizontal="right" vertical="center" wrapText="1"/>
    </xf>
    <xf numFmtId="0" fontId="45" fillId="0" borderId="6" xfId="82" applyFont="1" applyBorder="1" applyAlignment="1">
      <alignment horizontal="left" vertical="center" wrapText="1"/>
    </xf>
    <xf numFmtId="0" fontId="45" fillId="0" borderId="6" xfId="82" applyFont="1" applyBorder="1" applyAlignment="1">
      <alignment horizontal="justify" vertical="center" wrapText="1"/>
    </xf>
    <xf numFmtId="0" fontId="45" fillId="0" borderId="6" xfId="82" applyFont="1" applyBorder="1" applyAlignment="1">
      <alignment horizontal="center" vertical="center"/>
    </xf>
    <xf numFmtId="0" fontId="45" fillId="0" borderId="6" xfId="82" applyFont="1" applyBorder="1" applyAlignment="1">
      <alignment horizontal="right" vertical="center"/>
    </xf>
    <xf numFmtId="0" fontId="45" fillId="0" borderId="6" xfId="82" applyFont="1" applyBorder="1" applyAlignment="1">
      <alignment horizontal="left" vertical="center"/>
    </xf>
    <xf numFmtId="0" fontId="45" fillId="0" borderId="6" xfId="82" applyFont="1" applyBorder="1" applyAlignment="1">
      <alignment horizontal="justify" vertical="center"/>
    </xf>
    <xf numFmtId="0" fontId="50" fillId="0" borderId="6" xfId="82" applyFont="1" applyBorder="1" applyAlignment="1">
      <alignment vertical="center"/>
    </xf>
    <xf numFmtId="0" fontId="82" fillId="0" borderId="6" xfId="82" applyFont="1" applyBorder="1" applyAlignment="1">
      <alignment horizontal="center" vertical="center"/>
    </xf>
    <xf numFmtId="0" fontId="45" fillId="0" borderId="6" xfId="82" applyFont="1" applyBorder="1" applyAlignment="1">
      <alignment horizontal="right" wrapText="1"/>
    </xf>
    <xf numFmtId="0" fontId="45" fillId="0" borderId="6" xfId="82" applyFont="1" applyBorder="1" applyAlignment="1">
      <alignment horizontal="left" wrapText="1"/>
    </xf>
    <xf numFmtId="0" fontId="45" fillId="0" borderId="6" xfId="82" applyFont="1" applyBorder="1" applyAlignment="1">
      <alignment horizontal="justify" wrapText="1"/>
    </xf>
    <xf numFmtId="0" fontId="45" fillId="0" borderId="6" xfId="82" applyFont="1" applyBorder="1" applyAlignment="1">
      <alignment horizontal="center" wrapText="1"/>
    </xf>
    <xf numFmtId="0" fontId="45" fillId="0" borderId="6" xfId="82" applyFont="1" applyBorder="1" applyAlignment="1">
      <alignment vertical="center"/>
    </xf>
    <xf numFmtId="0" fontId="45" fillId="0" borderId="28" xfId="82" applyFont="1" applyBorder="1" applyAlignment="1">
      <alignment horizontal="center" vertical="center"/>
    </xf>
    <xf numFmtId="0" fontId="45" fillId="0" borderId="6" xfId="82" applyFont="1" applyBorder="1" applyAlignment="1">
      <alignment wrapText="1"/>
    </xf>
    <xf numFmtId="0" fontId="45" fillId="0" borderId="22" xfId="82" applyFont="1" applyBorder="1" applyAlignment="1">
      <alignment horizontal="center" vertical="center"/>
    </xf>
    <xf numFmtId="0" fontId="45" fillId="0" borderId="4" xfId="82" applyFont="1" applyBorder="1" applyAlignment="1">
      <alignment vertical="center"/>
    </xf>
    <xf numFmtId="0" fontId="45" fillId="0" borderId="22" xfId="82" applyFont="1" applyBorder="1" applyAlignment="1">
      <alignment vertical="center"/>
    </xf>
    <xf numFmtId="0" fontId="82" fillId="0" borderId="30" xfId="82" applyFont="1" applyBorder="1" applyAlignment="1">
      <alignment horizontal="center" vertical="center"/>
    </xf>
    <xf numFmtId="0" fontId="82" fillId="0" borderId="30" xfId="82" applyFont="1" applyBorder="1" applyAlignment="1">
      <alignment vertical="center"/>
    </xf>
    <xf numFmtId="0" fontId="1" fillId="0" borderId="0" xfId="82"/>
    <xf numFmtId="14" fontId="28" fillId="0" borderId="16" xfId="0" applyNumberFormat="1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/>
    </xf>
    <xf numFmtId="0" fontId="28" fillId="27" borderId="6" xfId="0" applyFont="1" applyFill="1" applyBorder="1" applyAlignment="1">
      <alignment vertical="center"/>
    </xf>
    <xf numFmtId="0" fontId="28" fillId="28" borderId="6" xfId="0" applyFont="1" applyFill="1" applyBorder="1" applyAlignment="1">
      <alignment vertical="center"/>
    </xf>
    <xf numFmtId="0" fontId="54" fillId="0" borderId="29" xfId="83" applyFont="1" applyFill="1" applyBorder="1" applyAlignment="1">
      <alignment horizontal="center" vertical="center"/>
    </xf>
    <xf numFmtId="0" fontId="54" fillId="0" borderId="6" xfId="83" applyFont="1" applyFill="1" applyBorder="1" applyAlignment="1">
      <alignment horizontal="center" vertical="center"/>
    </xf>
    <xf numFmtId="0" fontId="62" fillId="0" borderId="0" xfId="83" applyFont="1" applyBorder="1" applyAlignment="1"/>
    <xf numFmtId="0" fontId="75" fillId="0" borderId="0" xfId="83" applyFont="1" applyAlignment="1"/>
    <xf numFmtId="0" fontId="47" fillId="0" borderId="0" xfId="82" applyFont="1" applyAlignment="1"/>
    <xf numFmtId="0" fontId="63" fillId="0" borderId="0" xfId="83" applyFont="1" applyBorder="1" applyAlignment="1"/>
    <xf numFmtId="0" fontId="63" fillId="0" borderId="0" xfId="83" applyFont="1" applyBorder="1" applyAlignment="1">
      <alignment vertical="center"/>
    </xf>
    <xf numFmtId="14" fontId="63" fillId="0" borderId="0" xfId="83" applyNumberFormat="1" applyFont="1" applyBorder="1" applyAlignment="1"/>
    <xf numFmtId="14" fontId="62" fillId="0" borderId="0" xfId="83" applyNumberFormat="1" applyFont="1" applyBorder="1" applyAlignment="1"/>
    <xf numFmtId="0" fontId="63" fillId="0" borderId="0" xfId="83" applyNumberFormat="1" applyFont="1" applyBorder="1" applyAlignment="1"/>
    <xf numFmtId="185" fontId="46" fillId="0" borderId="0" xfId="82" applyNumberFormat="1" applyFont="1" applyFill="1" applyBorder="1" applyAlignment="1">
      <alignment vertical="center" wrapText="1"/>
    </xf>
    <xf numFmtId="185" fontId="63" fillId="0" borderId="0" xfId="83" applyNumberFormat="1" applyFont="1" applyBorder="1" applyAlignment="1">
      <alignment horizontal="left"/>
    </xf>
    <xf numFmtId="0" fontId="62" fillId="0" borderId="0" xfId="83" applyFont="1" applyBorder="1" applyAlignment="1">
      <alignment vertical="center"/>
    </xf>
    <xf numFmtId="0" fontId="83" fillId="0" borderId="0" xfId="83" applyFont="1" applyAlignment="1">
      <alignment vertical="center"/>
    </xf>
    <xf numFmtId="0" fontId="28" fillId="0" borderId="16" xfId="82" applyFont="1" applyBorder="1" applyAlignment="1">
      <alignment horizontal="center" vertical="center"/>
    </xf>
    <xf numFmtId="0" fontId="28" fillId="0" borderId="40" xfId="82" applyFont="1" applyBorder="1" applyAlignment="1">
      <alignment vertical="center"/>
    </xf>
    <xf numFmtId="0" fontId="28" fillId="0" borderId="39" xfId="82" applyFont="1" applyBorder="1" applyAlignment="1">
      <alignment vertical="center"/>
    </xf>
    <xf numFmtId="0" fontId="52" fillId="0" borderId="6" xfId="0" applyNumberFormat="1" applyFont="1" applyFill="1" applyBorder="1" applyAlignment="1" applyProtection="1">
      <alignment horizontal="center" vertical="center" wrapText="1"/>
    </xf>
    <xf numFmtId="49" fontId="28" fillId="0" borderId="28" xfId="0" applyNumberFormat="1" applyFont="1" applyFill="1" applyBorder="1" applyAlignment="1" applyProtection="1">
      <alignment horizontal="left" vertical="center" wrapText="1"/>
    </xf>
    <xf numFmtId="49" fontId="28" fillId="0" borderId="22" xfId="0" applyNumberFormat="1" applyFont="1" applyFill="1" applyBorder="1" applyAlignment="1" applyProtection="1">
      <alignment horizontal="left" vertical="center" wrapText="1"/>
    </xf>
    <xf numFmtId="0" fontId="28" fillId="0" borderId="6" xfId="0" applyFont="1" applyFill="1" applyBorder="1"/>
    <xf numFmtId="14" fontId="28" fillId="0" borderId="6" xfId="0" applyNumberFormat="1" applyFont="1" applyFill="1" applyBorder="1" applyAlignment="1">
      <alignment horizontal="center"/>
    </xf>
    <xf numFmtId="0" fontId="86" fillId="0" borderId="18" xfId="85" applyFont="1" applyBorder="1" applyAlignment="1">
      <alignment horizontal="center" vertical="center"/>
    </xf>
    <xf numFmtId="0" fontId="87" fillId="0" borderId="6" xfId="0" applyNumberFormat="1" applyFont="1" applyFill="1" applyBorder="1" applyAlignment="1" applyProtection="1">
      <alignment horizontal="center" vertical="center" wrapText="1"/>
    </xf>
    <xf numFmtId="49" fontId="86" fillId="0" borderId="28" xfId="0" applyNumberFormat="1" applyFont="1" applyFill="1" applyBorder="1" applyAlignment="1" applyProtection="1">
      <alignment horizontal="left" vertical="center" wrapText="1"/>
    </xf>
    <xf numFmtId="49" fontId="86" fillId="0" borderId="22" xfId="0" applyNumberFormat="1" applyFont="1" applyFill="1" applyBorder="1" applyAlignment="1" applyProtection="1">
      <alignment horizontal="left" vertical="center" wrapText="1"/>
    </xf>
    <xf numFmtId="0" fontId="86" fillId="0" borderId="6" xfId="0" applyFont="1" applyFill="1" applyBorder="1"/>
    <xf numFmtId="14" fontId="86" fillId="0" borderId="6" xfId="0" applyNumberFormat="1" applyFont="1" applyFill="1" applyBorder="1" applyAlignment="1">
      <alignment horizontal="center"/>
    </xf>
    <xf numFmtId="14" fontId="86" fillId="0" borderId="16" xfId="0" applyNumberFormat="1" applyFont="1" applyFill="1" applyBorder="1" applyAlignment="1">
      <alignment horizontal="center"/>
    </xf>
    <xf numFmtId="0" fontId="86" fillId="0" borderId="13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183" fontId="87" fillId="0" borderId="12" xfId="0" applyNumberFormat="1" applyFont="1" applyBorder="1" applyAlignment="1">
      <alignment horizontal="center" vertical="center"/>
    </xf>
    <xf numFmtId="1" fontId="87" fillId="29" borderId="12" xfId="0" applyNumberFormat="1" applyFont="1" applyFill="1" applyBorder="1" applyAlignment="1">
      <alignment horizontal="center" vertical="center"/>
    </xf>
    <xf numFmtId="0" fontId="86" fillId="0" borderId="13" xfId="85" applyFont="1" applyBorder="1" applyAlignment="1">
      <alignment vertical="center"/>
    </xf>
    <xf numFmtId="0" fontId="73" fillId="0" borderId="13" xfId="0" applyFont="1" applyBorder="1" applyAlignment="1">
      <alignment horizontal="center" vertical="center"/>
    </xf>
    <xf numFmtId="186" fontId="53" fillId="0" borderId="0" xfId="85" applyNumberFormat="1" applyFont="1" applyBorder="1" applyAlignment="1">
      <alignment horizontal="center"/>
    </xf>
    <xf numFmtId="186" fontId="52" fillId="28" borderId="0" xfId="0" applyNumberFormat="1" applyFont="1" applyFill="1" applyAlignment="1">
      <alignment horizontal="center"/>
    </xf>
    <xf numFmtId="186" fontId="52" fillId="27" borderId="0" xfId="0" applyNumberFormat="1" applyFont="1" applyFill="1" applyAlignment="1">
      <alignment horizontal="center"/>
    </xf>
    <xf numFmtId="186" fontId="52" fillId="29" borderId="6" xfId="0" applyNumberFormat="1" applyFont="1" applyFill="1" applyBorder="1" applyAlignment="1">
      <alignment horizontal="center" vertical="center" wrapText="1"/>
    </xf>
    <xf numFmtId="186" fontId="52" fillId="28" borderId="6" xfId="0" applyNumberFormat="1" applyFont="1" applyFill="1" applyBorder="1" applyAlignment="1">
      <alignment horizontal="center" vertical="center"/>
    </xf>
    <xf numFmtId="186" fontId="87" fillId="29" borderId="12" xfId="0" applyNumberFormat="1" applyFont="1" applyFill="1" applyBorder="1" applyAlignment="1">
      <alignment horizontal="center" vertical="center"/>
    </xf>
    <xf numFmtId="186" fontId="52" fillId="29" borderId="12" xfId="0" applyNumberFormat="1" applyFont="1" applyFill="1" applyBorder="1" applyAlignment="1">
      <alignment horizontal="center" vertical="center"/>
    </xf>
    <xf numFmtId="186" fontId="28" fillId="0" borderId="0" xfId="0" applyNumberFormat="1" applyFont="1" applyAlignment="1">
      <alignment horizontal="center"/>
    </xf>
    <xf numFmtId="0" fontId="63" fillId="0" borderId="0" xfId="83" applyFont="1" applyAlignment="1">
      <alignment horizontal="center" vertical="center"/>
    </xf>
    <xf numFmtId="0" fontId="54" fillId="0" borderId="0" xfId="83" applyFont="1" applyAlignment="1">
      <alignment horizontal="center" vertical="center"/>
    </xf>
    <xf numFmtId="0" fontId="57" fillId="0" borderId="0" xfId="83" applyFont="1" applyAlignment="1">
      <alignment horizontal="center" vertical="center" wrapText="1"/>
    </xf>
    <xf numFmtId="0" fontId="1" fillId="28" borderId="0" xfId="82" quotePrefix="1" applyFill="1"/>
    <xf numFmtId="0" fontId="92" fillId="0" borderId="0" xfId="82" applyFont="1" applyFill="1" applyAlignment="1">
      <alignment horizontal="center"/>
    </xf>
    <xf numFmtId="0" fontId="92" fillId="28" borderId="41" xfId="82" applyFont="1" applyFill="1" applyBorder="1" applyAlignment="1">
      <alignment horizontal="center" vertical="center"/>
    </xf>
    <xf numFmtId="0" fontId="92" fillId="0" borderId="0" xfId="82" applyFont="1" applyAlignment="1">
      <alignment horizontal="center"/>
    </xf>
    <xf numFmtId="0" fontId="92" fillId="28" borderId="0" xfId="82" applyFont="1" applyFill="1" applyBorder="1" applyAlignment="1">
      <alignment horizontal="center" vertical="center" textRotation="90"/>
    </xf>
    <xf numFmtId="0" fontId="93" fillId="27" borderId="28" xfId="82" applyFont="1" applyFill="1" applyBorder="1" applyAlignment="1">
      <alignment horizontal="center" vertical="center"/>
    </xf>
    <xf numFmtId="0" fontId="92" fillId="27" borderId="42" xfId="82" applyFont="1" applyFill="1" applyBorder="1" applyAlignment="1">
      <alignment horizontal="center" textRotation="90"/>
    </xf>
    <xf numFmtId="0" fontId="93" fillId="28" borderId="42" xfId="82" applyFont="1" applyFill="1" applyBorder="1" applyAlignment="1">
      <alignment horizontal="center" vertical="center"/>
    </xf>
    <xf numFmtId="0" fontId="68" fillId="0" borderId="6" xfId="82" applyFont="1" applyBorder="1" applyAlignment="1">
      <alignment horizontal="center" vertical="center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68" fillId="0" borderId="28" xfId="82" applyNumberFormat="1" applyFont="1" applyFill="1" applyBorder="1" applyAlignment="1" applyProtection="1">
      <alignment horizontal="left" vertical="center" wrapText="1"/>
    </xf>
    <xf numFmtId="0" fontId="68" fillId="0" borderId="22" xfId="82" applyNumberFormat="1" applyFont="1" applyFill="1" applyBorder="1" applyAlignment="1" applyProtection="1">
      <alignment horizontal="left" vertical="center" wrapText="1"/>
    </xf>
    <xf numFmtId="14" fontId="68" fillId="0" borderId="6" xfId="82" applyNumberFormat="1" applyFont="1" applyFill="1" applyBorder="1" applyAlignment="1" applyProtection="1">
      <alignment horizontal="center" vertical="center" wrapText="1"/>
    </xf>
    <xf numFmtId="183" fontId="68" fillId="0" borderId="6" xfId="82" applyNumberFormat="1" applyFont="1" applyBorder="1" applyAlignment="1">
      <alignment horizontal="center" vertical="center"/>
    </xf>
    <xf numFmtId="1" fontId="94" fillId="0" borderId="6" xfId="82" applyNumberFormat="1" applyFont="1" applyBorder="1" applyAlignment="1">
      <alignment horizontal="center" vertical="center"/>
    </xf>
    <xf numFmtId="186" fontId="93" fillId="26" borderId="6" xfId="82" applyNumberFormat="1" applyFont="1" applyFill="1" applyBorder="1" applyAlignment="1">
      <alignment horizontal="center" vertical="center"/>
    </xf>
    <xf numFmtId="0" fontId="68" fillId="0" borderId="6" xfId="82" applyFont="1" applyFill="1" applyBorder="1" applyAlignment="1">
      <alignment horizontal="center" vertical="center"/>
    </xf>
    <xf numFmtId="0" fontId="68" fillId="0" borderId="16" xfId="82" applyFont="1" applyFill="1" applyBorder="1" applyAlignment="1">
      <alignment horizontal="center" vertical="center"/>
    </xf>
    <xf numFmtId="0" fontId="39" fillId="0" borderId="0" xfId="82" applyFont="1"/>
    <xf numFmtId="14" fontId="39" fillId="0" borderId="0" xfId="82" applyNumberFormat="1" applyFont="1"/>
    <xf numFmtId="0" fontId="68" fillId="0" borderId="0" xfId="82" applyFont="1" applyFill="1" applyBorder="1" applyAlignment="1">
      <alignment horizontal="center" vertical="center"/>
    </xf>
    <xf numFmtId="0" fontId="68" fillId="0" borderId="16" xfId="82" applyFont="1" applyBorder="1" applyAlignment="1">
      <alignment horizontal="center" vertical="center"/>
    </xf>
    <xf numFmtId="0" fontId="68" fillId="0" borderId="0" xfId="82" applyFont="1" applyAlignment="1">
      <alignment horizontal="center"/>
    </xf>
    <xf numFmtId="0" fontId="93" fillId="0" borderId="0" xfId="82" applyFont="1" applyAlignment="1">
      <alignment horizontal="center"/>
    </xf>
    <xf numFmtId="0" fontId="68" fillId="0" borderId="0" xfId="82" applyFont="1" applyAlignment="1"/>
    <xf numFmtId="0" fontId="93" fillId="0" borderId="0" xfId="82" applyFont="1" applyAlignment="1"/>
    <xf numFmtId="14" fontId="68" fillId="0" borderId="0" xfId="82" applyNumberFormat="1" applyFont="1" applyAlignment="1">
      <alignment horizontal="center"/>
    </xf>
    <xf numFmtId="0" fontId="28" fillId="0" borderId="0" xfId="82" applyFont="1" applyFill="1" applyAlignment="1"/>
    <xf numFmtId="0" fontId="95" fillId="0" borderId="0" xfId="82" applyFont="1" applyFill="1" applyAlignment="1">
      <alignment horizontal="center"/>
    </xf>
    <xf numFmtId="0" fontId="95" fillId="0" borderId="0" xfId="84" applyFont="1" applyAlignment="1">
      <alignment horizontal="center"/>
    </xf>
    <xf numFmtId="0" fontId="68" fillId="0" borderId="0" xfId="82" applyFont="1" applyFill="1" applyAlignment="1"/>
    <xf numFmtId="0" fontId="96" fillId="0" borderId="0" xfId="82" applyFont="1" applyAlignment="1"/>
    <xf numFmtId="0" fontId="97" fillId="0" borderId="0" xfId="82" applyFont="1" applyAlignment="1">
      <alignment horizontal="center"/>
    </xf>
    <xf numFmtId="0" fontId="96" fillId="0" borderId="0" xfId="82" applyFont="1" applyAlignment="1">
      <alignment horizontal="center"/>
    </xf>
    <xf numFmtId="0" fontId="68" fillId="27" borderId="6" xfId="82" applyFont="1" applyFill="1" applyBorder="1" applyAlignment="1">
      <alignment horizontal="center" vertical="center"/>
    </xf>
    <xf numFmtId="0" fontId="28" fillId="27" borderId="6" xfId="0" applyNumberFormat="1" applyFont="1" applyFill="1" applyBorder="1" applyAlignment="1" applyProtection="1">
      <alignment horizontal="center" vertical="center" wrapText="1"/>
    </xf>
    <xf numFmtId="0" fontId="68" fillId="27" borderId="28" xfId="82" applyNumberFormat="1" applyFont="1" applyFill="1" applyBorder="1" applyAlignment="1" applyProtection="1">
      <alignment horizontal="left" vertical="center" wrapText="1"/>
    </xf>
    <xf numFmtId="0" fontId="68" fillId="27" borderId="22" xfId="82" applyNumberFormat="1" applyFont="1" applyFill="1" applyBorder="1" applyAlignment="1" applyProtection="1">
      <alignment horizontal="left" vertical="center" wrapText="1"/>
    </xf>
    <xf numFmtId="14" fontId="68" fillId="27" borderId="6" xfId="82" applyNumberFormat="1" applyFont="1" applyFill="1" applyBorder="1" applyAlignment="1" applyProtection="1">
      <alignment horizontal="center" vertical="center" wrapText="1"/>
    </xf>
    <xf numFmtId="183" fontId="68" fillId="27" borderId="6" xfId="82" applyNumberFormat="1" applyFont="1" applyFill="1" applyBorder="1" applyAlignment="1">
      <alignment horizontal="center" vertical="center"/>
    </xf>
    <xf numFmtId="1" fontId="94" fillId="27" borderId="6" xfId="82" applyNumberFormat="1" applyFont="1" applyFill="1" applyBorder="1" applyAlignment="1">
      <alignment horizontal="center" vertical="center"/>
    </xf>
    <xf numFmtId="186" fontId="93" fillId="27" borderId="6" xfId="82" applyNumberFormat="1" applyFont="1" applyFill="1" applyBorder="1" applyAlignment="1">
      <alignment horizontal="center" vertical="center"/>
    </xf>
    <xf numFmtId="0" fontId="68" fillId="27" borderId="16" xfId="82" applyFont="1" applyFill="1" applyBorder="1" applyAlignment="1">
      <alignment horizontal="center" vertical="center"/>
    </xf>
    <xf numFmtId="0" fontId="39" fillId="27" borderId="0" xfId="82" applyFont="1" applyFill="1"/>
    <xf numFmtId="14" fontId="39" fillId="27" borderId="0" xfId="82" applyNumberFormat="1" applyFont="1" applyFill="1"/>
    <xf numFmtId="2" fontId="93" fillId="26" borderId="29" xfId="82" applyNumberFormat="1" applyFont="1" applyFill="1" applyBorder="1" applyAlignment="1">
      <alignment horizontal="center" vertical="center" textRotation="90" wrapText="1"/>
    </xf>
    <xf numFmtId="3" fontId="93" fillId="26" borderId="29" xfId="82" applyNumberFormat="1" applyFont="1" applyFill="1" applyBorder="1" applyAlignment="1">
      <alignment horizontal="center" vertical="center" wrapText="1"/>
    </xf>
    <xf numFmtId="0" fontId="1" fillId="0" borderId="0" xfId="82" applyAlignment="1">
      <alignment vertical="center" wrapText="1"/>
    </xf>
    <xf numFmtId="1" fontId="54" fillId="0" borderId="6" xfId="83" applyNumberFormat="1" applyFont="1" applyBorder="1" applyAlignment="1">
      <alignment horizontal="center" vertical="center"/>
    </xf>
    <xf numFmtId="183" fontId="60" fillId="0" borderId="38" xfId="83" applyNumberFormat="1" applyFont="1" applyBorder="1" applyAlignment="1">
      <alignment horizontal="center" vertical="center"/>
    </xf>
    <xf numFmtId="183" fontId="60" fillId="0" borderId="39" xfId="83" applyNumberFormat="1" applyFont="1" applyBorder="1" applyAlignment="1">
      <alignment horizontal="center" vertical="center"/>
    </xf>
    <xf numFmtId="0" fontId="60" fillId="0" borderId="0" xfId="83" applyFont="1" applyAlignment="1">
      <alignment horizontal="center" vertical="center"/>
    </xf>
    <xf numFmtId="0" fontId="63" fillId="0" borderId="0" xfId="83" applyFont="1" applyAlignment="1">
      <alignment horizontal="center" vertical="center"/>
    </xf>
    <xf numFmtId="0" fontId="54" fillId="0" borderId="0" xfId="83" applyFont="1" applyAlignment="1">
      <alignment horizontal="center" vertical="center"/>
    </xf>
    <xf numFmtId="0" fontId="62" fillId="0" borderId="0" xfId="83" applyFont="1" applyBorder="1" applyAlignment="1">
      <alignment horizontal="center" vertical="center"/>
    </xf>
    <xf numFmtId="0" fontId="57" fillId="0" borderId="0" xfId="83" applyFont="1" applyAlignment="1">
      <alignment horizontal="center" vertical="center" wrapText="1"/>
    </xf>
    <xf numFmtId="0" fontId="69" fillId="0" borderId="0" xfId="83" applyFont="1" applyAlignment="1">
      <alignment horizontal="center" vertical="center" wrapText="1"/>
    </xf>
    <xf numFmtId="185" fontId="68" fillId="0" borderId="0" xfId="82" applyNumberFormat="1" applyFont="1" applyFill="1" applyBorder="1" applyAlignment="1">
      <alignment horizontal="left" vertical="center" wrapText="1"/>
    </xf>
    <xf numFmtId="0" fontId="54" fillId="0" borderId="4" xfId="83" applyFont="1" applyFill="1" applyBorder="1" applyAlignment="1">
      <alignment horizontal="center" vertical="center"/>
    </xf>
    <xf numFmtId="0" fontId="54" fillId="0" borderId="22" xfId="83" applyFont="1" applyFill="1" applyBorder="1" applyAlignment="1">
      <alignment horizontal="center" vertical="center"/>
    </xf>
    <xf numFmtId="0" fontId="54" fillId="0" borderId="28" xfId="83" applyFont="1" applyFill="1" applyBorder="1" applyAlignment="1">
      <alignment horizontal="center" vertical="center" wrapText="1"/>
    </xf>
    <xf numFmtId="0" fontId="54" fillId="0" borderId="22" xfId="83" applyFont="1" applyFill="1" applyBorder="1" applyAlignment="1">
      <alignment horizontal="center" vertical="center" wrapText="1"/>
    </xf>
    <xf numFmtId="0" fontId="58" fillId="0" borderId="28" xfId="83" applyFont="1" applyBorder="1" applyAlignment="1">
      <alignment horizontal="left" vertical="center"/>
    </xf>
    <xf numFmtId="0" fontId="58" fillId="0" borderId="4" xfId="83" applyFont="1" applyBorder="1" applyAlignment="1">
      <alignment horizontal="left" vertical="center"/>
    </xf>
    <xf numFmtId="0" fontId="58" fillId="0" borderId="22" xfId="83" applyFont="1" applyBorder="1" applyAlignment="1">
      <alignment horizontal="left" vertical="center"/>
    </xf>
    <xf numFmtId="2" fontId="58" fillId="0" borderId="28" xfId="83" applyNumberFormat="1" applyFont="1" applyBorder="1" applyAlignment="1">
      <alignment horizontal="center" vertical="center"/>
    </xf>
    <xf numFmtId="2" fontId="58" fillId="0" borderId="4" xfId="83" applyNumberFormat="1" applyFont="1" applyBorder="1" applyAlignment="1">
      <alignment horizontal="center" vertical="center"/>
    </xf>
    <xf numFmtId="2" fontId="58" fillId="0" borderId="22" xfId="83" applyNumberFormat="1" applyFont="1" applyBorder="1" applyAlignment="1">
      <alignment horizontal="center" vertical="center"/>
    </xf>
    <xf numFmtId="0" fontId="64" fillId="0" borderId="0" xfId="83" applyFont="1" applyAlignment="1">
      <alignment horizontal="left" vertical="top" wrapText="1"/>
    </xf>
    <xf numFmtId="186" fontId="54" fillId="0" borderId="28" xfId="83" applyNumberFormat="1" applyFont="1" applyBorder="1" applyAlignment="1">
      <alignment horizontal="center" vertical="center"/>
    </xf>
    <xf numFmtId="186" fontId="54" fillId="0" borderId="4" xfId="83" applyNumberFormat="1" applyFont="1" applyBorder="1" applyAlignment="1">
      <alignment horizontal="center" vertical="center"/>
    </xf>
    <xf numFmtId="186" fontId="54" fillId="0" borderId="22" xfId="83" applyNumberFormat="1" applyFont="1" applyBorder="1" applyAlignment="1">
      <alignment horizontal="center" vertical="center"/>
    </xf>
    <xf numFmtId="0" fontId="50" fillId="0" borderId="28" xfId="82" applyFont="1" applyBorder="1" applyAlignment="1">
      <alignment horizontal="justify" vertical="center"/>
    </xf>
    <xf numFmtId="0" fontId="50" fillId="0" borderId="4" xfId="82" applyFont="1" applyBorder="1" applyAlignment="1">
      <alignment horizontal="justify" vertical="center"/>
    </xf>
    <xf numFmtId="0" fontId="82" fillId="0" borderId="28" xfId="82" applyFont="1" applyBorder="1" applyAlignment="1">
      <alignment horizontal="justify" vertical="center"/>
    </xf>
    <xf numFmtId="0" fontId="82" fillId="0" borderId="4" xfId="82" applyFont="1" applyBorder="1" applyAlignment="1">
      <alignment horizontal="justify" vertical="center"/>
    </xf>
    <xf numFmtId="0" fontId="82" fillId="0" borderId="22" xfId="82" applyFont="1" applyBorder="1" applyAlignment="1">
      <alignment horizontal="justify" vertical="center"/>
    </xf>
    <xf numFmtId="0" fontId="50" fillId="0" borderId="0" xfId="82" applyFont="1" applyAlignment="1">
      <alignment horizontal="left" vertical="center"/>
    </xf>
    <xf numFmtId="0" fontId="50" fillId="0" borderId="28" xfId="82" applyFont="1" applyBorder="1" applyAlignment="1">
      <alignment horizontal="justify" vertical="center" wrapText="1"/>
    </xf>
    <xf numFmtId="0" fontId="50" fillId="0" borderId="4" xfId="82" applyFont="1" applyBorder="1" applyAlignment="1">
      <alignment horizontal="justify" vertical="center" wrapText="1"/>
    </xf>
    <xf numFmtId="0" fontId="50" fillId="0" borderId="22" xfId="82" applyFont="1" applyBorder="1" applyAlignment="1">
      <alignment horizontal="justify" vertical="center" wrapText="1"/>
    </xf>
    <xf numFmtId="0" fontId="50" fillId="0" borderId="28" xfId="82" applyFont="1" applyBorder="1" applyAlignment="1">
      <alignment horizontal="center" vertical="center"/>
    </xf>
    <xf numFmtId="0" fontId="50" fillId="0" borderId="4" xfId="82" applyFont="1" applyBorder="1" applyAlignment="1">
      <alignment horizontal="center" vertical="center"/>
    </xf>
    <xf numFmtId="0" fontId="50" fillId="0" borderId="22" xfId="82" applyFont="1" applyBorder="1" applyAlignment="1">
      <alignment horizontal="center" vertical="center"/>
    </xf>
    <xf numFmtId="0" fontId="50" fillId="0" borderId="6" xfId="82" applyFont="1" applyBorder="1" applyAlignment="1">
      <alignment horizontal="center" vertical="center"/>
    </xf>
    <xf numFmtId="0" fontId="52" fillId="0" borderId="0" xfId="82" applyFont="1" applyFill="1" applyAlignment="1">
      <alignment horizontal="center" vertical="center"/>
    </xf>
    <xf numFmtId="0" fontId="50" fillId="0" borderId="0" xfId="82" applyFont="1" applyFill="1" applyAlignment="1">
      <alignment horizontal="center" vertical="center"/>
    </xf>
    <xf numFmtId="0" fontId="50" fillId="0" borderId="0" xfId="82" applyFont="1" applyFill="1" applyBorder="1" applyAlignment="1">
      <alignment horizontal="center" vertical="center"/>
    </xf>
    <xf numFmtId="0" fontId="81" fillId="0" borderId="27" xfId="82" applyFont="1" applyBorder="1" applyAlignment="1">
      <alignment horizontal="center" vertical="center" wrapText="1"/>
    </xf>
    <xf numFmtId="0" fontId="50" fillId="0" borderId="6" xfId="82" applyFont="1" applyBorder="1" applyAlignment="1">
      <alignment horizontal="center" vertical="center" wrapText="1"/>
    </xf>
    <xf numFmtId="14" fontId="52" fillId="0" borderId="6" xfId="85" applyNumberFormat="1" applyFont="1" applyBorder="1" applyAlignment="1">
      <alignment horizontal="center" vertical="center"/>
    </xf>
    <xf numFmtId="14" fontId="52" fillId="0" borderId="29" xfId="85" applyNumberFormat="1" applyFont="1" applyBorder="1" applyAlignment="1">
      <alignment horizontal="center" vertical="center"/>
    </xf>
    <xf numFmtId="184" fontId="52" fillId="0" borderId="31" xfId="85" applyNumberFormat="1" applyFont="1" applyFill="1" applyBorder="1" applyAlignment="1">
      <alignment horizontal="left" vertical="center"/>
    </xf>
    <xf numFmtId="0" fontId="28" fillId="0" borderId="32" xfId="85" applyFont="1" applyFill="1" applyBorder="1" applyAlignment="1">
      <alignment horizontal="left"/>
    </xf>
    <xf numFmtId="0" fontId="52" fillId="0" borderId="28" xfId="85" applyFont="1" applyBorder="1" applyAlignment="1">
      <alignment horizontal="center" vertical="center"/>
    </xf>
    <xf numFmtId="184" fontId="52" fillId="0" borderId="33" xfId="85" applyNumberFormat="1" applyFont="1" applyBorder="1" applyAlignment="1">
      <alignment horizontal="left" vertical="center"/>
    </xf>
    <xf numFmtId="184" fontId="52" fillId="0" borderId="34" xfId="85" applyNumberFormat="1" applyFont="1" applyBorder="1" applyAlignment="1">
      <alignment horizontal="left" vertical="center"/>
    </xf>
    <xf numFmtId="14" fontId="52" fillId="0" borderId="4" xfId="85" applyNumberFormat="1" applyFont="1" applyBorder="1" applyAlignment="1">
      <alignment horizontal="center" vertical="center"/>
    </xf>
    <xf numFmtId="0" fontId="52" fillId="0" borderId="6" xfId="85" applyFont="1" applyBorder="1" applyAlignment="1">
      <alignment horizontal="center" vertical="center" wrapText="1"/>
    </xf>
    <xf numFmtId="0" fontId="52" fillId="0" borderId="6" xfId="85" applyFont="1" applyBorder="1" applyAlignment="1">
      <alignment horizontal="center" vertical="center"/>
    </xf>
    <xf numFmtId="0" fontId="52" fillId="27" borderId="6" xfId="85" applyFont="1" applyFill="1" applyBorder="1" applyAlignment="1">
      <alignment horizontal="center" vertical="center"/>
    </xf>
    <xf numFmtId="0" fontId="52" fillId="27" borderId="28" xfId="85" applyFont="1" applyFill="1" applyBorder="1" applyAlignment="1">
      <alignment horizontal="center" vertical="center"/>
    </xf>
    <xf numFmtId="0" fontId="52" fillId="27" borderId="31" xfId="85" applyFont="1" applyFill="1" applyBorder="1" applyAlignment="1">
      <alignment horizontal="center" vertical="center"/>
    </xf>
    <xf numFmtId="0" fontId="52" fillId="27" borderId="35" xfId="85" applyFont="1" applyFill="1" applyBorder="1" applyAlignment="1">
      <alignment horizontal="center" vertical="center"/>
    </xf>
    <xf numFmtId="0" fontId="52" fillId="27" borderId="29" xfId="85" applyFont="1" applyFill="1" applyBorder="1" applyAlignment="1">
      <alignment horizontal="center" vertical="center" wrapText="1"/>
    </xf>
    <xf numFmtId="0" fontId="52" fillId="27" borderId="36" xfId="85" applyFont="1" applyFill="1" applyBorder="1" applyAlignment="1">
      <alignment horizontal="center" vertical="center" wrapText="1"/>
    </xf>
    <xf numFmtId="184" fontId="52" fillId="27" borderId="33" xfId="85" applyNumberFormat="1" applyFont="1" applyFill="1" applyBorder="1" applyAlignment="1">
      <alignment horizontal="left" vertical="center"/>
    </xf>
    <xf numFmtId="184" fontId="52" fillId="27" borderId="37" xfId="85" applyNumberFormat="1" applyFont="1" applyFill="1" applyBorder="1" applyAlignment="1">
      <alignment horizontal="left" vertical="center"/>
    </xf>
    <xf numFmtId="184" fontId="52" fillId="27" borderId="31" xfId="85" applyNumberFormat="1" applyFont="1" applyFill="1" applyBorder="1" applyAlignment="1">
      <alignment horizontal="left" vertical="center"/>
    </xf>
    <xf numFmtId="184" fontId="52" fillId="27" borderId="35" xfId="85" applyNumberFormat="1" applyFont="1" applyFill="1" applyBorder="1" applyAlignment="1">
      <alignment horizontal="left" vertical="center"/>
    </xf>
    <xf numFmtId="14" fontId="52" fillId="27" borderId="29" xfId="85" applyNumberFormat="1" applyFont="1" applyFill="1" applyBorder="1" applyAlignment="1">
      <alignment horizontal="center" vertical="center"/>
    </xf>
    <xf numFmtId="14" fontId="52" fillId="27" borderId="36" xfId="85" applyNumberFormat="1" applyFont="1" applyFill="1" applyBorder="1" applyAlignment="1">
      <alignment horizontal="center" vertical="center"/>
    </xf>
    <xf numFmtId="0" fontId="93" fillId="0" borderId="0" xfId="82" applyFont="1" applyAlignment="1">
      <alignment horizontal="center"/>
    </xf>
    <xf numFmtId="0" fontId="52" fillId="0" borderId="0" xfId="82" applyFont="1" applyFill="1" applyAlignment="1">
      <alignment horizontal="center"/>
    </xf>
    <xf numFmtId="0" fontId="93" fillId="27" borderId="29" xfId="82" applyFont="1" applyFill="1" applyBorder="1" applyAlignment="1">
      <alignment horizontal="center" vertical="center" wrapText="1"/>
    </xf>
    <xf numFmtId="0" fontId="93" fillId="27" borderId="30" xfId="82" applyFont="1" applyFill="1" applyBorder="1" applyAlignment="1">
      <alignment horizontal="center" vertical="center" wrapText="1"/>
    </xf>
    <xf numFmtId="0" fontId="94" fillId="32" borderId="28" xfId="82" applyFont="1" applyFill="1" applyBorder="1" applyAlignment="1">
      <alignment horizontal="left" vertical="center"/>
    </xf>
    <xf numFmtId="0" fontId="94" fillId="32" borderId="4" xfId="82" applyFont="1" applyFill="1" applyBorder="1" applyAlignment="1">
      <alignment horizontal="left" vertical="center"/>
    </xf>
    <xf numFmtId="0" fontId="94" fillId="32" borderId="22" xfId="82" applyFont="1" applyFill="1" applyBorder="1" applyAlignment="1">
      <alignment horizontal="left" vertical="center"/>
    </xf>
    <xf numFmtId="0" fontId="91" fillId="0" borderId="0" xfId="82" applyFont="1" applyAlignment="1">
      <alignment horizontal="center" vertical="top"/>
    </xf>
    <xf numFmtId="0" fontId="93" fillId="27" borderId="6" xfId="82" applyFont="1" applyFill="1" applyBorder="1" applyAlignment="1">
      <alignment horizontal="center" vertical="center"/>
    </xf>
    <xf numFmtId="0" fontId="93" fillId="27" borderId="33" xfId="82" applyFont="1" applyFill="1" applyBorder="1" applyAlignment="1">
      <alignment horizontal="left" vertical="center"/>
    </xf>
    <xf numFmtId="0" fontId="93" fillId="27" borderId="34" xfId="82" applyFont="1" applyFill="1" applyBorder="1" applyAlignment="1">
      <alignment horizontal="left" vertical="center"/>
    </xf>
    <xf numFmtId="0" fontId="93" fillId="27" borderId="31" xfId="82" applyFont="1" applyFill="1" applyBorder="1" applyAlignment="1">
      <alignment horizontal="left" vertical="center"/>
    </xf>
    <xf numFmtId="0" fontId="93" fillId="27" borderId="32" xfId="82" applyFont="1" applyFill="1" applyBorder="1" applyAlignment="1">
      <alignment horizontal="left" vertical="center"/>
    </xf>
    <xf numFmtId="0" fontId="93" fillId="27" borderId="4" xfId="82" applyFont="1" applyFill="1" applyBorder="1" applyAlignment="1">
      <alignment horizontal="center" vertical="center"/>
    </xf>
    <xf numFmtId="2" fontId="93" fillId="26" borderId="29" xfId="82" applyNumberFormat="1" applyFont="1" applyFill="1" applyBorder="1" applyAlignment="1">
      <alignment horizontal="center" vertical="center" textRotation="90" wrapText="1"/>
    </xf>
    <xf numFmtId="2" fontId="93" fillId="26" borderId="30" xfId="82" applyNumberFormat="1" applyFont="1" applyFill="1" applyBorder="1" applyAlignment="1">
      <alignment horizontal="center" vertical="center" textRotation="90" wrapText="1"/>
    </xf>
    <xf numFmtId="0" fontId="47" fillId="0" borderId="0" xfId="82" applyFont="1" applyAlignment="1">
      <alignment horizontal="center" vertical="top"/>
    </xf>
    <xf numFmtId="0" fontId="88" fillId="0" borderId="0" xfId="82" applyFont="1" applyAlignment="1">
      <alignment horizontal="center"/>
    </xf>
    <xf numFmtId="0" fontId="89" fillId="0" borderId="0" xfId="82" applyFont="1" applyAlignment="1">
      <alignment horizontal="center"/>
    </xf>
    <xf numFmtId="0" fontId="90" fillId="0" borderId="0" xfId="82" applyFont="1" applyAlignment="1">
      <alignment horizontal="center" vertical="top"/>
    </xf>
    <xf numFmtId="0" fontId="47" fillId="0" borderId="0" xfId="82" applyFont="1" applyAlignment="1">
      <alignment horizontal="center"/>
    </xf>
  </cellXfs>
  <cellStyles count="11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_BANGDIEM" xfId="84"/>
    <cellStyle name="Normal_HS2004" xfId="85"/>
    <cellStyle name="Note" xfId="86" builtinId="10" customBuiltin="1"/>
    <cellStyle name="Output" xfId="87" builtinId="21" customBuiltin="1"/>
    <cellStyle name="Percent [2]" xfId="88"/>
    <cellStyle name="Percent 2" xfId="89"/>
    <cellStyle name="PERCENTAGE" xfId="90"/>
    <cellStyle name="PrePop Currency (0)" xfId="91"/>
    <cellStyle name="songuyen" xfId="92"/>
    <cellStyle name="Text Indent A" xfId="93"/>
    <cellStyle name="Text Indent B" xfId="94"/>
    <cellStyle name="Title" xfId="95" builtinId="15" customBuiltin="1"/>
    <cellStyle name="Total" xfId="96" builtinId="25" customBuiltin="1"/>
    <cellStyle name="Warning Text" xfId="97" builtinId="11" customBuiltin="1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機器ﾘｽト (2)" xfId="115"/>
    <cellStyle name="貨幣 [0]_00Q3902REV.1" xfId="116"/>
    <cellStyle name="貨幣[0]_BRE" xfId="117"/>
    <cellStyle name="貨幣_00Q3902REV.1" xfId="118"/>
  </cellStyles>
  <dxfs count="17">
    <dxf>
      <font>
        <color rgb="FF9C0006"/>
      </font>
      <fill>
        <patternFill>
          <bgColor rgb="FFFFC7CE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rgb="FFFFCECD"/>
        </patternFill>
      </fill>
    </dxf>
    <dxf>
      <fill>
        <patternFill>
          <bgColor rgb="FFFFCE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2</xdr:col>
      <xdr:colOff>152400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"/>
          <a:ext cx="3714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1065068</xdr:colOff>
      <xdr:row>2</xdr:row>
      <xdr:rowOff>0</xdr:rowOff>
    </xdr:from>
    <xdr:to>
      <xdr:col>11</xdr:col>
      <xdr:colOff>51954</xdr:colOff>
      <xdr:row>2</xdr:row>
      <xdr:rowOff>1588</xdr:rowOff>
    </xdr:to>
    <xdr:cxnSp macro="">
      <xdr:nvCxnSpPr>
        <xdr:cNvPr id="3" name="Straight Connector 2"/>
        <xdr:cNvCxnSpPr/>
      </xdr:nvCxnSpPr>
      <xdr:spPr>
        <a:xfrm>
          <a:off x="4084493" y="419100"/>
          <a:ext cx="1539586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351559</xdr:colOff>
      <xdr:row>1</xdr:row>
      <xdr:rowOff>178377</xdr:rowOff>
    </xdr:from>
    <xdr:to>
      <xdr:col>6</xdr:col>
      <xdr:colOff>230331</xdr:colOff>
      <xdr:row>1</xdr:row>
      <xdr:rowOff>179965</xdr:rowOff>
    </xdr:to>
    <xdr:cxnSp macro="">
      <xdr:nvCxnSpPr>
        <xdr:cNvPr id="4" name="Straight Connector 3"/>
        <xdr:cNvCxnSpPr/>
      </xdr:nvCxnSpPr>
      <xdr:spPr>
        <a:xfrm>
          <a:off x="751609" y="397452"/>
          <a:ext cx="1536122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2</xdr:col>
      <xdr:colOff>152400</xdr:colOff>
      <xdr:row>1</xdr:row>
      <xdr:rowOff>171450</xdr:rowOff>
    </xdr:to>
    <xdr:pic>
      <xdr:nvPicPr>
        <xdr:cNvPr id="11358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"/>
          <a:ext cx="3714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1065068</xdr:colOff>
      <xdr:row>2</xdr:row>
      <xdr:rowOff>0</xdr:rowOff>
    </xdr:from>
    <xdr:to>
      <xdr:col>11</xdr:col>
      <xdr:colOff>51954</xdr:colOff>
      <xdr:row>2</xdr:row>
      <xdr:rowOff>1588</xdr:rowOff>
    </xdr:to>
    <xdr:cxnSp macro="">
      <xdr:nvCxnSpPr>
        <xdr:cNvPr id="5" name="Straight Connector 4"/>
        <xdr:cNvCxnSpPr/>
      </xdr:nvCxnSpPr>
      <xdr:spPr>
        <a:xfrm>
          <a:off x="4087091" y="415636"/>
          <a:ext cx="154131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351559</xdr:colOff>
      <xdr:row>1</xdr:row>
      <xdr:rowOff>178377</xdr:rowOff>
    </xdr:from>
    <xdr:to>
      <xdr:col>6</xdr:col>
      <xdr:colOff>230331</xdr:colOff>
      <xdr:row>1</xdr:row>
      <xdr:rowOff>179965</xdr:rowOff>
    </xdr:to>
    <xdr:cxnSp macro="">
      <xdr:nvCxnSpPr>
        <xdr:cNvPr id="13" name="Straight Connector 12"/>
        <xdr:cNvCxnSpPr/>
      </xdr:nvCxnSpPr>
      <xdr:spPr>
        <a:xfrm>
          <a:off x="749877" y="394854"/>
          <a:ext cx="154131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showGridLines="0" topLeftCell="A4" zoomScale="110" zoomScaleNormal="110" workbookViewId="0">
      <selection activeCell="K15" sqref="K15:L15"/>
    </sheetView>
  </sheetViews>
  <sheetFormatPr defaultRowHeight="16.5"/>
  <cols>
    <col min="1" max="1" width="0.42578125" style="30" customWidth="1"/>
    <col min="2" max="2" width="5.5703125" style="30" customWidth="1"/>
    <col min="3" max="4" width="8.28515625" style="30" customWidth="1"/>
    <col min="5" max="5" width="6" style="30" customWidth="1"/>
    <col min="6" max="6" width="2.28515625" style="30" customWidth="1"/>
    <col min="7" max="7" width="9" style="30" customWidth="1"/>
    <col min="8" max="8" width="5.42578125" style="30" customWidth="1"/>
    <col min="9" max="9" width="20.85546875" style="30" customWidth="1"/>
    <col min="10" max="11" width="8.7109375" style="30" customWidth="1"/>
    <col min="12" max="12" width="3.28515625" style="30" customWidth="1"/>
    <col min="13" max="13" width="13" style="30" customWidth="1"/>
    <col min="14" max="14" width="6.42578125" style="30" customWidth="1"/>
    <col min="15" max="15" width="4.42578125" style="30" customWidth="1"/>
    <col min="16" max="16384" width="9.140625" style="30"/>
  </cols>
  <sheetData>
    <row r="1" spans="2:20" s="53" customFormat="1" ht="17.25" customHeight="1">
      <c r="B1" s="52"/>
      <c r="C1" s="261" t="s">
        <v>9</v>
      </c>
      <c r="D1" s="261"/>
      <c r="E1" s="261"/>
      <c r="F1" s="261"/>
      <c r="G1" s="261"/>
      <c r="H1" s="44"/>
      <c r="I1" s="262" t="s">
        <v>14</v>
      </c>
      <c r="J1" s="262"/>
      <c r="K1" s="262"/>
      <c r="L1" s="262"/>
      <c r="M1" s="262"/>
      <c r="N1" s="26"/>
      <c r="O1" s="26"/>
    </row>
    <row r="2" spans="2:20" s="53" customFormat="1" ht="15.75" customHeight="1">
      <c r="B2" s="52"/>
      <c r="C2" s="263" t="s">
        <v>10</v>
      </c>
      <c r="D2" s="263"/>
      <c r="E2" s="263"/>
      <c r="F2" s="263"/>
      <c r="G2" s="263"/>
      <c r="H2" s="44"/>
      <c r="I2" s="264" t="s">
        <v>15</v>
      </c>
      <c r="J2" s="264"/>
      <c r="K2" s="264"/>
      <c r="L2" s="264"/>
      <c r="M2" s="264"/>
      <c r="N2" s="27"/>
      <c r="O2" s="27"/>
      <c r="T2" s="117" t="s">
        <v>163</v>
      </c>
    </row>
    <row r="3" spans="2:20" s="28" customFormat="1" ht="11.25" customHeight="1">
      <c r="B3" s="265" t="s">
        <v>53</v>
      </c>
      <c r="C3" s="265"/>
      <c r="D3" s="265"/>
      <c r="E3" s="265"/>
      <c r="F3" s="265"/>
      <c r="G3" s="265"/>
      <c r="H3" s="48"/>
      <c r="I3" s="51"/>
      <c r="J3" s="51"/>
      <c r="K3" s="51"/>
      <c r="L3" s="51"/>
      <c r="M3" s="50"/>
      <c r="N3" s="29"/>
      <c r="O3" s="29"/>
    </row>
    <row r="4" spans="2:20" s="28" customFormat="1" ht="14.25" customHeight="1">
      <c r="B4" s="265"/>
      <c r="C4" s="265"/>
      <c r="D4" s="265"/>
      <c r="E4" s="265"/>
      <c r="F4" s="265"/>
      <c r="G4" s="265"/>
      <c r="H4" s="48"/>
      <c r="I4" s="49"/>
      <c r="J4" s="51"/>
      <c r="K4" s="51"/>
      <c r="L4" s="51"/>
      <c r="M4" s="50"/>
      <c r="N4" s="29"/>
      <c r="O4" s="29"/>
    </row>
    <row r="5" spans="2:20" s="28" customFormat="1" ht="4.5" customHeight="1">
      <c r="B5" s="209"/>
      <c r="C5" s="209"/>
      <c r="D5" s="209"/>
      <c r="E5" s="209"/>
      <c r="F5" s="209"/>
      <c r="G5" s="209"/>
      <c r="H5" s="48"/>
      <c r="I5" s="48"/>
      <c r="J5" s="41"/>
      <c r="K5" s="41"/>
      <c r="L5" s="41"/>
      <c r="M5" s="40"/>
      <c r="N5" s="29"/>
      <c r="O5" s="29"/>
    </row>
    <row r="6" spans="2:20" s="28" customFormat="1" ht="27">
      <c r="B6" s="266" t="s">
        <v>16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9"/>
      <c r="O6" s="29"/>
      <c r="P6" s="125" t="s">
        <v>52</v>
      </c>
      <c r="Q6" s="267">
        <v>25301106130</v>
      </c>
      <c r="R6" s="267"/>
    </row>
    <row r="7" spans="2:20" s="28" customFormat="1" ht="5.25" customHeight="1">
      <c r="B7" s="209"/>
      <c r="C7" s="209"/>
      <c r="D7" s="209"/>
      <c r="E7" s="209"/>
      <c r="F7" s="209"/>
      <c r="G7" s="209"/>
      <c r="H7" s="48"/>
      <c r="I7" s="48"/>
      <c r="J7" s="41"/>
      <c r="K7" s="41"/>
      <c r="L7" s="41"/>
      <c r="M7" s="40"/>
      <c r="N7" s="29"/>
      <c r="O7" s="29"/>
    </row>
    <row r="8" spans="2:20" s="42" customFormat="1" ht="15">
      <c r="B8" s="166" t="str">
        <f ca="1">"Cấp cho " &amp; IF(VLOOKUP($M$8,INDIRECT($T$2&amp;"!$B$6:$F$69"),4,0)="Nam","Ông","Bà")</f>
        <v>Cấp cho Bà</v>
      </c>
      <c r="C8" s="167"/>
      <c r="D8" s="167"/>
      <c r="E8" s="167"/>
      <c r="F8" s="166" t="s">
        <v>11</v>
      </c>
      <c r="G8" s="168" t="str">
        <f ca="1">VLOOKUP($M$8,INDIRECT($T$2&amp;"!$B$6:$F$69"),2,0)&amp; " " &amp;VLOOKUP($M$8,INDIRECT($T$2&amp;"!$B$6:$F$69"),3,0)</f>
        <v>Ngô Ái Vân</v>
      </c>
      <c r="H8" s="169"/>
      <c r="I8" s="169"/>
      <c r="J8" s="167" t="s">
        <v>51</v>
      </c>
      <c r="K8" s="171"/>
      <c r="L8" s="172" t="s">
        <v>11</v>
      </c>
      <c r="M8" s="175">
        <f>$Q$6</f>
        <v>25301106130</v>
      </c>
      <c r="N8" s="170"/>
      <c r="O8" s="170"/>
    </row>
    <row r="9" spans="2:20" s="42" customFormat="1" ht="15">
      <c r="B9" s="166" t="s">
        <v>12</v>
      </c>
      <c r="C9" s="167"/>
      <c r="D9" s="167"/>
      <c r="E9" s="167"/>
      <c r="F9" s="166" t="s">
        <v>11</v>
      </c>
      <c r="G9" s="168" t="str">
        <f ca="1">TEXT(VLOOKUP($M$8,INDIRECT($T$2&amp;"!$B$6:$IV$65536"),5,0),"dd/mm/yyyy")</f>
        <v>18/10/1979</v>
      </c>
      <c r="H9" s="166"/>
      <c r="I9" s="166"/>
      <c r="J9" s="167" t="s">
        <v>37</v>
      </c>
      <c r="K9" s="171"/>
      <c r="L9" s="172" t="s">
        <v>11</v>
      </c>
      <c r="M9" s="173" t="str">
        <f ca="1">VLOOKUP($M$8,INDIRECT($T$2&amp;"!$B$6:$IV$65536"),6,0)</f>
        <v>Quảng Nam</v>
      </c>
      <c r="N9" s="54"/>
      <c r="O9" s="54"/>
    </row>
    <row r="10" spans="2:20" s="42" customFormat="1" ht="15">
      <c r="B10" s="166" t="s">
        <v>13</v>
      </c>
      <c r="C10" s="167"/>
      <c r="D10" s="167"/>
      <c r="E10" s="167"/>
      <c r="F10" s="166" t="s">
        <v>11</v>
      </c>
      <c r="G10" s="169" t="s">
        <v>164</v>
      </c>
      <c r="H10" s="166"/>
      <c r="I10" s="172"/>
      <c r="J10" s="167" t="s">
        <v>38</v>
      </c>
      <c r="K10" s="171"/>
      <c r="L10" s="172" t="s">
        <v>11</v>
      </c>
      <c r="M10" s="171" t="s">
        <v>160</v>
      </c>
      <c r="N10" s="54"/>
      <c r="O10" s="54"/>
    </row>
    <row r="11" spans="2:20" s="42" customFormat="1" ht="15">
      <c r="B11" s="167" t="s">
        <v>156</v>
      </c>
      <c r="C11" s="166"/>
      <c r="D11" s="166"/>
      <c r="E11" s="166"/>
      <c r="F11" s="166" t="s">
        <v>11</v>
      </c>
      <c r="G11" s="169" t="s">
        <v>54</v>
      </c>
      <c r="H11" s="171"/>
      <c r="I11" s="171"/>
      <c r="N11" s="174"/>
      <c r="O11" s="54"/>
    </row>
    <row r="12" spans="2:20" s="28" customFormat="1" ht="15.75">
      <c r="B12" s="42" t="s">
        <v>157</v>
      </c>
      <c r="C12" s="176"/>
      <c r="D12" s="176"/>
      <c r="E12" s="176"/>
      <c r="F12" s="176" t="s">
        <v>11</v>
      </c>
      <c r="G12" s="170" t="s">
        <v>158</v>
      </c>
      <c r="H12" s="122"/>
      <c r="I12" s="122"/>
      <c r="J12" s="121"/>
      <c r="K12" s="122"/>
      <c r="L12" s="123"/>
      <c r="M12" s="126"/>
      <c r="N12" s="124"/>
      <c r="O12" s="32"/>
    </row>
    <row r="13" spans="2:20" s="28" customFormat="1" ht="7.5" customHeight="1">
      <c r="C13" s="57"/>
      <c r="D13" s="57"/>
      <c r="E13" s="57"/>
      <c r="F13" s="56"/>
      <c r="G13" s="56"/>
      <c r="H13" s="58"/>
      <c r="I13" s="58"/>
      <c r="J13" s="58"/>
      <c r="K13" s="59"/>
      <c r="L13" s="59"/>
      <c r="M13" s="59"/>
      <c r="N13" s="31"/>
      <c r="O13" s="31"/>
    </row>
    <row r="14" spans="2:20" s="28" customFormat="1" ht="30" customHeight="1">
      <c r="B14" s="164" t="s">
        <v>0</v>
      </c>
      <c r="C14" s="107" t="s">
        <v>39</v>
      </c>
      <c r="D14" s="107" t="s">
        <v>40</v>
      </c>
      <c r="E14" s="268" t="s">
        <v>41</v>
      </c>
      <c r="F14" s="268"/>
      <c r="G14" s="268"/>
      <c r="H14" s="268"/>
      <c r="I14" s="269"/>
      <c r="J14" s="107" t="s">
        <v>42</v>
      </c>
      <c r="K14" s="270" t="s">
        <v>43</v>
      </c>
      <c r="L14" s="271"/>
      <c r="M14" s="165" t="s">
        <v>159</v>
      </c>
      <c r="N14" s="60"/>
      <c r="O14" s="60"/>
    </row>
    <row r="15" spans="2:20" s="28" customFormat="1" ht="15.75" customHeight="1">
      <c r="B15" s="108">
        <v>1</v>
      </c>
      <c r="C15" s="178" t="str">
        <f ca="1">SUBSTITUTE(INDEX(INDIRECT($T$2&amp;"!$B$4:$DK$5"),1,BĐTN!N15+3),D15,"")</f>
        <v>PHI</v>
      </c>
      <c r="D15" s="178" t="str">
        <f ca="1">RIGHT(INDEX(INDIRECT($T$2&amp;"!$B$4:$DK$5"),1,BĐTN!N15+3),3)</f>
        <v>550</v>
      </c>
      <c r="E15" s="179" t="str">
        <f ca="1">INDEX(INDIRECT($T$2&amp;"!$B$4:$DK$5"),1,BĐTN!N15)</f>
        <v>Triết học</v>
      </c>
      <c r="F15" s="179"/>
      <c r="G15" s="179"/>
      <c r="H15" s="179"/>
      <c r="I15" s="180"/>
      <c r="J15" s="118">
        <f ca="1">INDEX(INDIRECT($T$2&amp;"!$B$4:$DK$5"),2,N15+3)</f>
        <v>3</v>
      </c>
      <c r="K15" s="259" t="e">
        <f>VLOOKUP($Q$6,K20MCS!$B$6:$CI$9,BĐTN!O15,0)</f>
        <v>#N/A</v>
      </c>
      <c r="L15" s="260"/>
      <c r="M15" s="119"/>
      <c r="N15" s="177">
        <v>7</v>
      </c>
      <c r="O15" s="177">
        <v>10</v>
      </c>
    </row>
    <row r="16" spans="2:20" s="28" customFormat="1" ht="15.75" customHeight="1">
      <c r="B16" s="112">
        <f>B15+1</f>
        <v>2</v>
      </c>
      <c r="C16" s="109" t="str">
        <f ca="1">SUBSTITUTE(INDEX(INDIRECT($T$2&amp;"!$B$4:$DK$5"),1,BĐTN!N16+3),D16,"")</f>
        <v>ENG</v>
      </c>
      <c r="D16" s="109" t="str">
        <f ca="1">RIGHT(INDEX(INDIRECT($T$2&amp;"!$B$4:$DK$5"),1,BĐTN!N16+3),3)</f>
        <v>601</v>
      </c>
      <c r="E16" s="110" t="str">
        <f ca="1">INDEX(INDIRECT($T$2&amp;"!$B$4:$DK$5"),1,BĐTN!N16)</f>
        <v>Tiếng Anh 1</v>
      </c>
      <c r="F16" s="110"/>
      <c r="G16" s="110"/>
      <c r="H16" s="110"/>
      <c r="I16" s="111"/>
      <c r="J16" s="118">
        <f t="shared" ref="J16:J34" ca="1" si="0">INDEX(INDIRECT($T$2&amp;"!$B$4:$DK$5"),2,N16+3)</f>
        <v>3</v>
      </c>
      <c r="K16" s="259" t="e">
        <f>VLOOKUP($Q$6,K20MCS!$B$6:$CI$9,BĐTN!O16,0)</f>
        <v>#N/A</v>
      </c>
      <c r="L16" s="260"/>
      <c r="M16" s="119"/>
      <c r="N16" s="177">
        <f>N15+4</f>
        <v>11</v>
      </c>
      <c r="O16" s="177">
        <f>O15+4</f>
        <v>14</v>
      </c>
    </row>
    <row r="17" spans="2:18" s="28" customFormat="1" ht="15.75" customHeight="1">
      <c r="B17" s="112">
        <f t="shared" ref="B17:B34" si="1">B16+1</f>
        <v>3</v>
      </c>
      <c r="C17" s="109" t="str">
        <f ca="1">SUBSTITUTE(INDEX(INDIRECT($T$2&amp;"!$B$4:$DK$5"),1,BĐTN!N17+3),D17,"")</f>
        <v>ENG</v>
      </c>
      <c r="D17" s="109" t="str">
        <f ca="1">RIGHT(INDEX(INDIRECT($T$2&amp;"!$B$4:$DK$5"),1,BĐTN!N17+3),3)</f>
        <v>602</v>
      </c>
      <c r="E17" s="110" t="str">
        <f ca="1">INDEX(INDIRECT($T$2&amp;"!$B$4:$DK$5"),1,BĐTN!N17)</f>
        <v>Tiếng Anh 2</v>
      </c>
      <c r="F17" s="110"/>
      <c r="G17" s="110"/>
      <c r="H17" s="110"/>
      <c r="I17" s="111"/>
      <c r="J17" s="118">
        <f t="shared" ca="1" si="0"/>
        <v>3</v>
      </c>
      <c r="K17" s="259" t="e">
        <f>VLOOKUP($Q$6,K20MCS!$B$6:$CI$9,BĐTN!O17,0)</f>
        <v>#N/A</v>
      </c>
      <c r="L17" s="260"/>
      <c r="M17" s="119"/>
      <c r="N17" s="177">
        <f t="shared" ref="N17:O32" si="2">N16+4</f>
        <v>15</v>
      </c>
      <c r="O17" s="177">
        <f t="shared" si="2"/>
        <v>18</v>
      </c>
    </row>
    <row r="18" spans="2:18" s="28" customFormat="1" ht="15.75" customHeight="1">
      <c r="B18" s="112">
        <f t="shared" si="1"/>
        <v>4</v>
      </c>
      <c r="C18" s="109" t="str">
        <f ca="1">SUBSTITUTE(INDEX(INDIRECT($T$2&amp;"!$B$4:$DK$5"),1,BĐTN!N18+3),D18,"")</f>
        <v>ENG</v>
      </c>
      <c r="D18" s="109" t="str">
        <f ca="1">RIGHT(INDEX(INDIRECT($T$2&amp;"!$B$4:$DK$5"),1,BĐTN!N18+3),3)</f>
        <v>701</v>
      </c>
      <c r="E18" s="110" t="str">
        <f ca="1">INDEX(INDIRECT($T$2&amp;"!$B$4:$DK$5"),1,BĐTN!N18)</f>
        <v>Tiếng Anh 3</v>
      </c>
      <c r="F18" s="110"/>
      <c r="G18" s="110"/>
      <c r="H18" s="110"/>
      <c r="I18" s="111"/>
      <c r="J18" s="118">
        <f t="shared" ca="1" si="0"/>
        <v>3</v>
      </c>
      <c r="K18" s="259" t="e">
        <f>VLOOKUP($Q$6,K20MCS!$B$6:$CI$9,BĐTN!O18,0)</f>
        <v>#N/A</v>
      </c>
      <c r="L18" s="260"/>
      <c r="M18" s="119"/>
      <c r="N18" s="177">
        <f t="shared" si="2"/>
        <v>19</v>
      </c>
      <c r="O18" s="177">
        <f t="shared" si="2"/>
        <v>22</v>
      </c>
    </row>
    <row r="19" spans="2:18" s="28" customFormat="1" ht="15.75" customHeight="1">
      <c r="B19" s="112">
        <f t="shared" si="1"/>
        <v>5</v>
      </c>
      <c r="C19" s="109" t="str">
        <f ca="1">SUBSTITUTE(INDEX(INDIRECT($T$2&amp;"!$B$4:$DK$5"),1,BĐTN!N19+3),D19,"")</f>
        <v>PHI</v>
      </c>
      <c r="D19" s="109" t="str">
        <f ca="1">RIGHT(INDEX(INDIRECT($T$2&amp;"!$B$4:$DK$5"),1,BĐTN!N19+3),3)</f>
        <v>600</v>
      </c>
      <c r="E19" s="110" t="str">
        <f ca="1">INDEX(INDIRECT($T$2&amp;"!$B$4:$DK$5"),1,BĐTN!N19)</f>
        <v>Phương pháp luận nghiên cứu khoa học</v>
      </c>
      <c r="F19" s="110"/>
      <c r="G19" s="110"/>
      <c r="H19" s="110"/>
      <c r="I19" s="111"/>
      <c r="J19" s="118">
        <f t="shared" ca="1" si="0"/>
        <v>2</v>
      </c>
      <c r="K19" s="259" t="e">
        <f>VLOOKUP($Q$6,K20MCS!$B$6:$CI$9,BĐTN!O19,0)</f>
        <v>#N/A</v>
      </c>
      <c r="L19" s="260"/>
      <c r="M19" s="119"/>
      <c r="N19" s="177">
        <f t="shared" si="2"/>
        <v>23</v>
      </c>
      <c r="O19" s="177">
        <f t="shared" si="2"/>
        <v>26</v>
      </c>
    </row>
    <row r="20" spans="2:18" s="28" customFormat="1" ht="15.75" customHeight="1">
      <c r="B20" s="112">
        <f t="shared" si="1"/>
        <v>6</v>
      </c>
      <c r="C20" s="109" t="str">
        <f ca="1">SUBSTITUTE(INDEX(INDIRECT($T$2&amp;"!$B$4:$DK$5"),1,BĐTN!N20+3),D20,"")</f>
        <v>CS</v>
      </c>
      <c r="D20" s="109" t="str">
        <f ca="1">RIGHT(INDEX(INDIRECT($T$2&amp;"!$B$4:$DK$5"),1,BĐTN!N20+3),3)</f>
        <v>676</v>
      </c>
      <c r="E20" s="110" t="str">
        <f ca="1">INDEX(INDIRECT($T$2&amp;"!$B$4:$DK$5"),1,BĐTN!N20)</f>
        <v>An toàn và bảo mật thông tin</v>
      </c>
      <c r="F20" s="110"/>
      <c r="G20" s="110"/>
      <c r="H20" s="110"/>
      <c r="I20" s="111"/>
      <c r="J20" s="118">
        <f t="shared" ca="1" si="0"/>
        <v>2</v>
      </c>
      <c r="K20" s="259" t="e">
        <f>VLOOKUP($Q$6,K20MCS!$B$6:$CI$9,BĐTN!O20,0)</f>
        <v>#N/A</v>
      </c>
      <c r="L20" s="260"/>
      <c r="M20" s="119"/>
      <c r="N20" s="177">
        <f t="shared" si="2"/>
        <v>27</v>
      </c>
      <c r="O20" s="177">
        <f t="shared" si="2"/>
        <v>30</v>
      </c>
    </row>
    <row r="21" spans="2:18" s="28" customFormat="1" ht="15.75" customHeight="1">
      <c r="B21" s="112">
        <f t="shared" si="1"/>
        <v>7</v>
      </c>
      <c r="C21" s="109" t="str">
        <f ca="1">SUBSTITUTE(INDEX(INDIRECT($T$2&amp;"!$B$4:$DK$5"),1,BĐTN!N21+3),D21,"")</f>
        <v>IS</v>
      </c>
      <c r="D21" s="109" t="str">
        <f ca="1">RIGHT(INDEX(INDIRECT($T$2&amp;"!$B$4:$DK$5"),1,BĐTN!N21+3),3)</f>
        <v>701</v>
      </c>
      <c r="E21" s="110" t="str">
        <f ca="1">INDEX(INDIRECT($T$2&amp;"!$B$4:$DK$5"),1,BĐTN!N21)</f>
        <v>Cơ sở dữ liệu nâng cao</v>
      </c>
      <c r="F21" s="110"/>
      <c r="G21" s="110"/>
      <c r="H21" s="110"/>
      <c r="I21" s="111"/>
      <c r="J21" s="118">
        <f t="shared" ca="1" si="0"/>
        <v>3</v>
      </c>
      <c r="K21" s="259" t="e">
        <f>VLOOKUP($Q$6,K20MCS!$B$6:$CI$9,BĐTN!O21,0)</f>
        <v>#N/A</v>
      </c>
      <c r="L21" s="260"/>
      <c r="M21" s="119"/>
      <c r="N21" s="177">
        <f t="shared" si="2"/>
        <v>31</v>
      </c>
      <c r="O21" s="177">
        <f t="shared" si="2"/>
        <v>34</v>
      </c>
    </row>
    <row r="22" spans="2:18" s="28" customFormat="1" ht="15.75" customHeight="1">
      <c r="B22" s="112">
        <f t="shared" si="1"/>
        <v>8</v>
      </c>
      <c r="C22" s="109" t="str">
        <f ca="1">SUBSTITUTE(INDEX(INDIRECT($T$2&amp;"!$B$4:$DK$5"),1,BĐTN!N22+3),D22,"")</f>
        <v>CS</v>
      </c>
      <c r="D22" s="109" t="str">
        <f ca="1">RIGHT(INDEX(INDIRECT($T$2&amp;"!$B$4:$DK$5"),1,BĐTN!N22+3),3)</f>
        <v>616</v>
      </c>
      <c r="E22" s="110" t="str">
        <f ca="1">INDEX(INDIRECT($T$2&amp;"!$B$4:$DK$5"),1,BĐTN!N22)</f>
        <v>Cấu trúc dữ liệu &amp; giải thuật nâng cao</v>
      </c>
      <c r="F22" s="110"/>
      <c r="G22" s="110"/>
      <c r="H22" s="110"/>
      <c r="I22" s="111"/>
      <c r="J22" s="118">
        <f t="shared" ca="1" si="0"/>
        <v>2</v>
      </c>
      <c r="K22" s="259" t="e">
        <f>VLOOKUP($Q$6,K20MCS!$B$6:$CI$9,BĐTN!O22,0)</f>
        <v>#N/A</v>
      </c>
      <c r="L22" s="260"/>
      <c r="M22" s="119"/>
      <c r="N22" s="177">
        <f t="shared" si="2"/>
        <v>35</v>
      </c>
      <c r="O22" s="177">
        <f t="shared" si="2"/>
        <v>38</v>
      </c>
    </row>
    <row r="23" spans="2:18" s="28" customFormat="1" ht="15.75" customHeight="1">
      <c r="B23" s="112">
        <f t="shared" si="1"/>
        <v>9</v>
      </c>
      <c r="C23" s="109" t="str">
        <f ca="1">SUBSTITUTE(INDEX(INDIRECT($T$2&amp;"!$B$4:$DK$5"),1,BĐTN!N23+3),D23,"")</f>
        <v>CS</v>
      </c>
      <c r="D23" s="109" t="str">
        <f ca="1">RIGHT(INDEX(INDIRECT($T$2&amp;"!$B$4:$DK$5"),1,BĐTN!N23+3),3)</f>
        <v>672</v>
      </c>
      <c r="E23" s="110" t="str">
        <f ca="1">INDEX(INDIRECT($T$2&amp;"!$B$4:$DK$5"),1,BĐTN!N23)</f>
        <v>Mạng và truyền dữ liệu nâng cao</v>
      </c>
      <c r="F23" s="110"/>
      <c r="G23" s="110"/>
      <c r="H23" s="110"/>
      <c r="I23" s="111"/>
      <c r="J23" s="118">
        <f t="shared" ca="1" si="0"/>
        <v>3</v>
      </c>
      <c r="K23" s="259" t="e">
        <f>VLOOKUP($Q$6,K20MCS!$B$6:$CI$9,BĐTN!O23,0)</f>
        <v>#N/A</v>
      </c>
      <c r="L23" s="260"/>
      <c r="M23" s="119"/>
      <c r="N23" s="177">
        <f t="shared" si="2"/>
        <v>39</v>
      </c>
      <c r="O23" s="177">
        <f t="shared" si="2"/>
        <v>42</v>
      </c>
      <c r="R23" s="42"/>
    </row>
    <row r="24" spans="2:18" s="28" customFormat="1" ht="15.75" customHeight="1">
      <c r="B24" s="112">
        <f t="shared" si="1"/>
        <v>10</v>
      </c>
      <c r="C24" s="109" t="str">
        <f ca="1">SUBSTITUTE(INDEX(INDIRECT($T$2&amp;"!$B$4:$DK$5"),1,BĐTN!N24+3),D24,"")</f>
        <v>CS</v>
      </c>
      <c r="D24" s="109" t="str">
        <f ca="1">RIGHT(INDEX(INDIRECT($T$2&amp;"!$B$4:$DK$5"),1,BĐTN!N24+3),3)</f>
        <v>641</v>
      </c>
      <c r="E24" s="110" t="str">
        <f ca="1">INDEX(INDIRECT($T$2&amp;"!$B$4:$DK$5"),1,BĐTN!N24)</f>
        <v>Lý thuyết nhận dạng( xử lý ảnh)</v>
      </c>
      <c r="F24" s="110"/>
      <c r="G24" s="110"/>
      <c r="H24" s="110"/>
      <c r="I24" s="111"/>
      <c r="J24" s="118">
        <f t="shared" ca="1" si="0"/>
        <v>3</v>
      </c>
      <c r="K24" s="259" t="e">
        <f>VLOOKUP($Q$6,K20MCS!$B$6:$CI$9,BĐTN!O24,0)</f>
        <v>#N/A</v>
      </c>
      <c r="L24" s="260"/>
      <c r="M24" s="119"/>
      <c r="N24" s="177">
        <f t="shared" si="2"/>
        <v>43</v>
      </c>
      <c r="O24" s="177">
        <f t="shared" si="2"/>
        <v>46</v>
      </c>
      <c r="R24" s="42"/>
    </row>
    <row r="25" spans="2:18" s="28" customFormat="1" ht="15.75" customHeight="1">
      <c r="B25" s="112">
        <f t="shared" si="1"/>
        <v>11</v>
      </c>
      <c r="C25" s="109" t="str">
        <f ca="1">SUBSTITUTE(INDEX(INDIRECT($T$2&amp;"!$B$4:$DK$5"),1,BĐTN!N25+3),D25,"")</f>
        <v>CS</v>
      </c>
      <c r="D25" s="109" t="str">
        <f ca="1">RIGHT(INDEX(INDIRECT($T$2&amp;"!$B$4:$DK$5"),1,BĐTN!N25+3),3)</f>
        <v>511</v>
      </c>
      <c r="E25" s="110" t="str">
        <f ca="1">INDEX(INDIRECT($T$2&amp;"!$B$4:$DK$5"),1,BĐTN!N25)</f>
        <v>Lập trình hướng đối tượng</v>
      </c>
      <c r="F25" s="110"/>
      <c r="G25" s="110"/>
      <c r="H25" s="110"/>
      <c r="I25" s="111"/>
      <c r="J25" s="118">
        <f t="shared" ca="1" si="0"/>
        <v>3</v>
      </c>
      <c r="K25" s="259" t="e">
        <f>VLOOKUP($Q$6,K20MCS!$B$6:$CI$9,BĐTN!O25,0)</f>
        <v>#N/A</v>
      </c>
      <c r="L25" s="260"/>
      <c r="M25" s="119"/>
      <c r="N25" s="177">
        <f t="shared" si="2"/>
        <v>47</v>
      </c>
      <c r="O25" s="177">
        <f t="shared" si="2"/>
        <v>50</v>
      </c>
      <c r="R25" s="30"/>
    </row>
    <row r="26" spans="2:18" s="28" customFormat="1" ht="15.75" customHeight="1">
      <c r="B26" s="112">
        <f t="shared" si="1"/>
        <v>12</v>
      </c>
      <c r="C26" s="109" t="str">
        <f ca="1">SUBSTITUTE(INDEX(INDIRECT($T$2&amp;"!$B$4:$DK$5"),1,BĐTN!N26+3),D26,"")</f>
        <v>IS</v>
      </c>
      <c r="D26" s="109" t="str">
        <f ca="1">RIGHT(INDEX(INDIRECT($T$2&amp;"!$B$4:$DK$5"),1,BĐTN!N26+3),3)</f>
        <v>722</v>
      </c>
      <c r="E26" s="110" t="str">
        <f ca="1">INDEX(INDIRECT($T$2&amp;"!$B$4:$DK$5"),1,BĐTN!N26)</f>
        <v>Khai mỏ dữ liệu</v>
      </c>
      <c r="F26" s="110"/>
      <c r="G26" s="110"/>
      <c r="H26" s="110"/>
      <c r="I26" s="111"/>
      <c r="J26" s="118">
        <f t="shared" ca="1" si="0"/>
        <v>2</v>
      </c>
      <c r="K26" s="259" t="e">
        <f>VLOOKUP($Q$6,K20MCS!$B$6:$CI$9,BĐTN!O26,0)</f>
        <v>#N/A</v>
      </c>
      <c r="L26" s="260"/>
      <c r="M26" s="119"/>
      <c r="N26" s="177">
        <f t="shared" si="2"/>
        <v>51</v>
      </c>
      <c r="O26" s="177">
        <f t="shared" si="2"/>
        <v>54</v>
      </c>
      <c r="R26" s="30"/>
    </row>
    <row r="27" spans="2:18" s="28" customFormat="1" ht="15.75" customHeight="1">
      <c r="B27" s="112">
        <f t="shared" si="1"/>
        <v>13</v>
      </c>
      <c r="C27" s="109" t="str">
        <f ca="1">SUBSTITUTE(INDEX(INDIRECT($T$2&amp;"!$B$4:$DK$5"),1,BĐTN!N27+3),D27,"")</f>
        <v>MGO</v>
      </c>
      <c r="D27" s="109" t="str">
        <f ca="1">RIGHT(INDEX(INDIRECT($T$2&amp;"!$B$4:$DK$5"),1,BĐTN!N27+3),3)</f>
        <v>703</v>
      </c>
      <c r="E27" s="110" t="str">
        <f ca="1">INDEX(INDIRECT($T$2&amp;"!$B$4:$DK$5"),1,BĐTN!N27)</f>
        <v>Các mô hình ra quyết định</v>
      </c>
      <c r="F27" s="110"/>
      <c r="G27" s="110"/>
      <c r="H27" s="110"/>
      <c r="I27" s="111"/>
      <c r="J27" s="118">
        <f t="shared" ca="1" si="0"/>
        <v>3</v>
      </c>
      <c r="K27" s="259" t="e">
        <f>VLOOKUP($Q$6,K20MCS!$B$6:$CI$9,BĐTN!O27,0)</f>
        <v>#N/A</v>
      </c>
      <c r="L27" s="260"/>
      <c r="M27" s="119"/>
      <c r="N27" s="177">
        <f t="shared" si="2"/>
        <v>55</v>
      </c>
      <c r="O27" s="177">
        <f t="shared" si="2"/>
        <v>58</v>
      </c>
      <c r="R27" s="30"/>
    </row>
    <row r="28" spans="2:18" s="28" customFormat="1" ht="15.75" customHeight="1">
      <c r="B28" s="112">
        <f t="shared" si="1"/>
        <v>14</v>
      </c>
      <c r="C28" s="109" t="str">
        <f ca="1">SUBSTITUTE(INDEX(INDIRECT($T$2&amp;"!$B$4:$DK$5"),1,BĐTN!N28+3),D28,"")</f>
        <v>IS</v>
      </c>
      <c r="D28" s="109" t="str">
        <f ca="1">RIGHT(INDEX(INDIRECT($T$2&amp;"!$B$4:$DK$5"),1,BĐTN!N28+3),3)</f>
        <v>735</v>
      </c>
      <c r="E28" s="110" t="str">
        <f ca="1">INDEX(INDIRECT($T$2&amp;"!$B$4:$DK$5"),1,BĐTN!N28)</f>
        <v>Hệ chuyên gia</v>
      </c>
      <c r="F28" s="110"/>
      <c r="G28" s="110"/>
      <c r="H28" s="110"/>
      <c r="I28" s="111"/>
      <c r="J28" s="118">
        <f t="shared" ca="1" si="0"/>
        <v>3</v>
      </c>
      <c r="K28" s="259" t="e">
        <f>VLOOKUP($Q$6,K20MCS!$B$6:$CI$9,BĐTN!O28,0)</f>
        <v>#N/A</v>
      </c>
      <c r="L28" s="260"/>
      <c r="M28" s="119"/>
      <c r="N28" s="177">
        <f t="shared" si="2"/>
        <v>59</v>
      </c>
      <c r="O28" s="177">
        <f t="shared" si="2"/>
        <v>62</v>
      </c>
      <c r="R28" s="30"/>
    </row>
    <row r="29" spans="2:18" s="28" customFormat="1" ht="15.75" customHeight="1">
      <c r="B29" s="112">
        <f t="shared" si="1"/>
        <v>15</v>
      </c>
      <c r="C29" s="109" t="str">
        <f ca="1">SUBSTITUTE(INDEX(INDIRECT($T$2&amp;"!$B$4:$DK$5"),1,BĐTN!N29+3),D29,"")</f>
        <v>CS</v>
      </c>
      <c r="D29" s="109" t="str">
        <f ca="1">RIGHT(INDEX(INDIRECT($T$2&amp;"!$B$4:$DK$5"),1,BĐTN!N29+3),3)</f>
        <v>669</v>
      </c>
      <c r="E29" s="110" t="str">
        <f ca="1">INDEX(INDIRECT($T$2&amp;"!$B$4:$DK$5"),1,BĐTN!N29)</f>
        <v>Xử lý ngôn ngữ tự nhiên</v>
      </c>
      <c r="F29" s="110"/>
      <c r="G29" s="110"/>
      <c r="H29" s="110"/>
      <c r="I29" s="111"/>
      <c r="J29" s="118">
        <f t="shared" ca="1" si="0"/>
        <v>3</v>
      </c>
      <c r="K29" s="259" t="e">
        <f>VLOOKUP($Q$6,K20MCS!$B$6:$CI$9,BĐTN!O29,0)</f>
        <v>#N/A</v>
      </c>
      <c r="L29" s="260"/>
      <c r="M29" s="119"/>
      <c r="N29" s="177">
        <f t="shared" si="2"/>
        <v>63</v>
      </c>
      <c r="O29" s="177">
        <f t="shared" si="2"/>
        <v>66</v>
      </c>
      <c r="R29" s="30"/>
    </row>
    <row r="30" spans="2:18" s="28" customFormat="1" ht="15.75" customHeight="1">
      <c r="B30" s="112">
        <f t="shared" si="1"/>
        <v>16</v>
      </c>
      <c r="C30" s="109" t="str">
        <f ca="1">SUBSTITUTE(INDEX(INDIRECT($T$2&amp;"!$B$4:$DK$5"),1,BĐTN!N30+3),D30,"")</f>
        <v>CS</v>
      </c>
      <c r="D30" s="109" t="str">
        <f ca="1">RIGHT(INDEX(INDIRECT($T$2&amp;"!$B$4:$DK$5"),1,BĐTN!N30+3),3)</f>
        <v>753</v>
      </c>
      <c r="E30" s="110" t="str">
        <f ca="1">INDEX(INDIRECT($T$2&amp;"!$B$4:$DK$5"),1,BĐTN!N30)</f>
        <v>Phân tích &amp; thiết kế hệ thống &amp; hướng đối tượng</v>
      </c>
      <c r="F30" s="110"/>
      <c r="G30" s="110"/>
      <c r="H30" s="110"/>
      <c r="I30" s="111"/>
      <c r="J30" s="118">
        <f t="shared" ca="1" si="0"/>
        <v>2</v>
      </c>
      <c r="K30" s="259" t="e">
        <f>VLOOKUP($Q$6,K20MCS!$B$6:$CI$9,BĐTN!O30,0)</f>
        <v>#N/A</v>
      </c>
      <c r="L30" s="260"/>
      <c r="M30" s="119"/>
      <c r="N30" s="177">
        <f t="shared" si="2"/>
        <v>67</v>
      </c>
      <c r="O30" s="177">
        <f t="shared" si="2"/>
        <v>70</v>
      </c>
      <c r="R30" s="30"/>
    </row>
    <row r="31" spans="2:18" s="28" customFormat="1" ht="15.75" customHeight="1">
      <c r="B31" s="112">
        <f t="shared" si="1"/>
        <v>17</v>
      </c>
      <c r="C31" s="109" t="str">
        <f ca="1">SUBSTITUTE(INDEX(INDIRECT($T$2&amp;"!$B$4:$DK$5"),1,BĐTN!N31+3),D31,"")</f>
        <v>IS</v>
      </c>
      <c r="D31" s="109" t="str">
        <f ca="1">RIGHT(INDEX(INDIRECT($T$2&amp;"!$B$4:$DK$5"),1,BĐTN!N31+3),3)</f>
        <v>632</v>
      </c>
      <c r="E31" s="110" t="str">
        <f ca="1">INDEX(INDIRECT($T$2&amp;"!$B$4:$DK$5"),1,BĐTN!N31)</f>
        <v>Quản lý dự án phần mềm</v>
      </c>
      <c r="F31" s="110"/>
      <c r="G31" s="110"/>
      <c r="H31" s="110"/>
      <c r="I31" s="111"/>
      <c r="J31" s="118">
        <f t="shared" ca="1" si="0"/>
        <v>3</v>
      </c>
      <c r="K31" s="259" t="e">
        <f>VLOOKUP($Q$6,K20MCS!$B$6:$CI$9,BĐTN!O31,0)</f>
        <v>#N/A</v>
      </c>
      <c r="L31" s="260"/>
      <c r="M31" s="119"/>
      <c r="N31" s="177">
        <f t="shared" si="2"/>
        <v>71</v>
      </c>
      <c r="O31" s="177">
        <f t="shared" si="2"/>
        <v>74</v>
      </c>
      <c r="R31" s="30"/>
    </row>
    <row r="32" spans="2:18" s="28" customFormat="1" ht="15.75" customHeight="1">
      <c r="B32" s="112">
        <f t="shared" si="1"/>
        <v>18</v>
      </c>
      <c r="C32" s="109" t="str">
        <f ca="1">SUBSTITUTE(INDEX(INDIRECT($T$2&amp;"!$B$4:$DK$5"),1,BĐTN!N32+3),D32,"")</f>
        <v>CS</v>
      </c>
      <c r="D32" s="109" t="str">
        <f ca="1">RIGHT(INDEX(INDIRECT($T$2&amp;"!$B$4:$DK$5"),1,BĐTN!N32+3),3)</f>
        <v>663</v>
      </c>
      <c r="E32" s="110" t="str">
        <f ca="1">INDEX(INDIRECT($T$2&amp;"!$B$4:$DK$5"),1,BĐTN!N32)</f>
        <v>Kiểm thử &amp; đảm bảo chất lượng phần mềm</v>
      </c>
      <c r="F32" s="110"/>
      <c r="G32" s="110"/>
      <c r="H32" s="110"/>
      <c r="I32" s="111"/>
      <c r="J32" s="118">
        <f t="shared" ca="1" si="0"/>
        <v>3</v>
      </c>
      <c r="K32" s="259" t="e">
        <f>VLOOKUP($Q$6,K20MCS!$B$6:$CI$9,BĐTN!O32,0)</f>
        <v>#N/A</v>
      </c>
      <c r="L32" s="260"/>
      <c r="M32" s="119"/>
      <c r="N32" s="177">
        <f t="shared" si="2"/>
        <v>75</v>
      </c>
      <c r="O32" s="177">
        <f t="shared" si="2"/>
        <v>78</v>
      </c>
      <c r="R32" s="30"/>
    </row>
    <row r="33" spans="2:18" s="28" customFormat="1" ht="15.75" customHeight="1">
      <c r="B33" s="112">
        <f t="shared" si="1"/>
        <v>19</v>
      </c>
      <c r="C33" s="109" t="str">
        <f ca="1">SUBSTITUTE(INDEX(INDIRECT($T$2&amp;"!$B$4:$DK$5"),1,BĐTN!N33+3),D33,"")</f>
        <v>CS</v>
      </c>
      <c r="D33" s="109" t="str">
        <f ca="1">RIGHT(INDEX(INDIRECT($T$2&amp;"!$B$4:$DK$5"),1,BĐTN!N33+3),3)</f>
        <v>720</v>
      </c>
      <c r="E33" s="110" t="str">
        <f ca="1">INDEX(INDIRECT($T$2&amp;"!$B$4:$DK$5"),1,BĐTN!N33)</f>
        <v>Hệ phân tán</v>
      </c>
      <c r="F33" s="110"/>
      <c r="G33" s="110"/>
      <c r="H33" s="110"/>
      <c r="I33" s="111"/>
      <c r="J33" s="118">
        <f t="shared" ca="1" si="0"/>
        <v>3</v>
      </c>
      <c r="K33" s="259" t="e">
        <f>VLOOKUP($Q$6,K20MCS!$B$6:$CI$9,BĐTN!O33,0)</f>
        <v>#N/A</v>
      </c>
      <c r="L33" s="260"/>
      <c r="M33" s="119"/>
      <c r="N33" s="177">
        <f t="shared" ref="N33:O34" si="3">N32+4</f>
        <v>79</v>
      </c>
      <c r="O33" s="177">
        <f t="shared" si="3"/>
        <v>82</v>
      </c>
      <c r="R33" s="30"/>
    </row>
    <row r="34" spans="2:18" s="28" customFormat="1" ht="15.75" customHeight="1">
      <c r="B34" s="112">
        <f t="shared" si="1"/>
        <v>20</v>
      </c>
      <c r="C34" s="109" t="str">
        <f ca="1">SUBSTITUTE(INDEX(INDIRECT($T$2&amp;"!$B$4:$DK$5"),1,BĐTN!N34+3),D34,"")</f>
        <v>CS</v>
      </c>
      <c r="D34" s="109" t="str">
        <f ca="1">RIGHT(INDEX(INDIRECT($T$2&amp;"!$B$4:$DK$5"),1,BĐTN!N34+3),3)</f>
        <v>723</v>
      </c>
      <c r="E34" s="110" t="str">
        <f ca="1">INDEX(INDIRECT($T$2&amp;"!$B$4:$DK$5"),1,BĐTN!N34)</f>
        <v>Mạng không dây nâng cao</v>
      </c>
      <c r="F34" s="110"/>
      <c r="G34" s="110"/>
      <c r="H34" s="110"/>
      <c r="I34" s="111"/>
      <c r="J34" s="118">
        <f t="shared" ca="1" si="0"/>
        <v>2</v>
      </c>
      <c r="K34" s="259" t="e">
        <f>VLOOKUP($Q$6,K20MCS!$B$6:$CI$9,BĐTN!O34,0)</f>
        <v>#N/A</v>
      </c>
      <c r="L34" s="260"/>
      <c r="M34" s="119"/>
      <c r="N34" s="177">
        <f t="shared" si="3"/>
        <v>83</v>
      </c>
      <c r="O34" s="177">
        <f t="shared" si="3"/>
        <v>86</v>
      </c>
      <c r="R34" s="30"/>
    </row>
    <row r="35" spans="2:18" s="46" customFormat="1" ht="19.5" customHeight="1">
      <c r="B35" s="113" t="s">
        <v>50</v>
      </c>
      <c r="C35" s="114"/>
      <c r="D35" s="114"/>
      <c r="E35" s="114"/>
      <c r="F35" s="114"/>
      <c r="G35" s="114"/>
      <c r="H35" s="114"/>
      <c r="I35" s="115"/>
      <c r="J35" s="258">
        <f ca="1">VLOOKUP($Q$6,INDIRECT($T$2&amp;"!$B$6:$IV$65536"),N$35-1,0)+SUMIF(K15:K34,"P",J15:J34)</f>
        <v>48</v>
      </c>
      <c r="K35" s="279">
        <f ca="1">VLOOKUP($M$8,INDIRECT($T$2&amp;"!$B$6:$IV$65536"),N$35,0)</f>
        <v>7.76</v>
      </c>
      <c r="L35" s="280"/>
      <c r="M35" s="281" t="e">
        <v>#N/A</v>
      </c>
      <c r="N35" s="64">
        <v>88</v>
      </c>
      <c r="R35" s="30"/>
    </row>
    <row r="36" spans="2:18" s="46" customFormat="1" ht="19.5" customHeight="1">
      <c r="B36" s="272" t="s">
        <v>44</v>
      </c>
      <c r="C36" s="273"/>
      <c r="D36" s="273"/>
      <c r="E36" s="273"/>
      <c r="F36" s="273"/>
      <c r="G36" s="273"/>
      <c r="H36" s="273"/>
      <c r="I36" s="274"/>
      <c r="J36" s="116">
        <v>8</v>
      </c>
      <c r="K36" s="275">
        <f ca="1">VLOOKUP($M$8,INDIRECT($T$2&amp;"!$B$6:$IV$65536"),N$36,0)</f>
        <v>0</v>
      </c>
      <c r="L36" s="276"/>
      <c r="M36" s="277" t="e">
        <v>#N/A</v>
      </c>
      <c r="N36" s="64">
        <f>N35+1</f>
        <v>89</v>
      </c>
      <c r="R36" s="30"/>
    </row>
    <row r="37" spans="2:18" s="28" customFormat="1" ht="3.75" customHeight="1">
      <c r="B37" s="45"/>
      <c r="C37" s="42"/>
      <c r="D37" s="42"/>
      <c r="E37" s="42"/>
      <c r="F37" s="45"/>
      <c r="G37" s="45"/>
      <c r="H37" s="45"/>
      <c r="I37" s="31"/>
      <c r="J37" s="31"/>
      <c r="K37" s="31"/>
      <c r="L37" s="31"/>
      <c r="M37" s="31"/>
      <c r="R37" s="30"/>
    </row>
    <row r="38" spans="2:18" s="28" customFormat="1" ht="15" customHeight="1">
      <c r="B38" s="278" t="str">
        <f ca="1">"Đề tài luận văn:"&amp;" "&amp;VLOOKUP($M$8,INDIRECT("'LUAN VAN'!$B$4:$Z$69"),6,0)</f>
        <v xml:space="preserve">Đề tài luận văn: 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R38" s="30"/>
    </row>
    <row r="39" spans="2:18" s="28" customFormat="1" ht="15" customHeight="1"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R39" s="30"/>
    </row>
    <row r="40" spans="2:18" s="28" customFormat="1">
      <c r="B40" s="47" t="str">
        <f ca="1">"Bảo vệ ngày "&amp;DAY(VLOOKUP($M$8,INDIRECT("'LUAN VAN'!$B$4:$M$17"),12,0))&amp;" tháng "&amp;MONTH(VLOOKUP(BĐTN!$M$8,INDIRECT("'LUAN VAN'!$B$4:$M$17"),12,0))&amp;" năm "&amp;YEAR(VLOOKUP(BĐTN!$M$8,INDIRECT("'LUAN VAN'!$B$4:$M$17"),12,0))&amp;" tại Hội đồng Chấm Luận văn gồm:"</f>
        <v>Bảo vệ ngày 0 tháng 1 năm 1900 tại Hội đồng Chấm Luận văn gồm:</v>
      </c>
      <c r="C40" s="42"/>
      <c r="D40" s="42"/>
      <c r="E40" s="42"/>
      <c r="F40" s="207"/>
      <c r="G40" s="207"/>
      <c r="H40" s="42"/>
      <c r="J40" s="208"/>
      <c r="K40" s="208"/>
      <c r="L40" s="208"/>
      <c r="M40" s="208"/>
      <c r="N40" s="31"/>
      <c r="O40" s="31"/>
      <c r="R40" s="30"/>
    </row>
    <row r="41" spans="2:18" s="28" customFormat="1">
      <c r="B41" s="70" t="s">
        <v>25</v>
      </c>
      <c r="C41" s="69">
        <f ca="1">VLOOKUP($M$8,INDIRECT("'LUAN VAN'!$B$4:$L$17"),7,0)</f>
        <v>0</v>
      </c>
      <c r="D41" s="69"/>
      <c r="E41" s="69"/>
      <c r="F41" s="54"/>
      <c r="G41" s="54"/>
      <c r="H41" s="42"/>
      <c r="I41" s="42" t="s">
        <v>30</v>
      </c>
      <c r="J41" s="32"/>
      <c r="K41" s="32"/>
      <c r="L41" s="32"/>
      <c r="M41" s="32"/>
      <c r="N41" s="31"/>
      <c r="O41" s="31"/>
      <c r="R41" s="30"/>
    </row>
    <row r="42" spans="2:18" s="28" customFormat="1">
      <c r="B42" s="70" t="s">
        <v>26</v>
      </c>
      <c r="C42" s="69">
        <f ca="1">VLOOKUP($M$8,INDIRECT("'LUAN VAN'!$B$4:$L$17"),8,0)</f>
        <v>0</v>
      </c>
      <c r="D42" s="69"/>
      <c r="E42" s="69"/>
      <c r="F42" s="54"/>
      <c r="G42" s="54"/>
      <c r="H42" s="42"/>
      <c r="I42" s="42" t="s">
        <v>32</v>
      </c>
      <c r="J42" s="32"/>
      <c r="K42" s="32"/>
      <c r="L42" s="32"/>
      <c r="M42" s="32"/>
      <c r="N42" s="32"/>
      <c r="O42" s="32"/>
      <c r="R42" s="30"/>
    </row>
    <row r="43" spans="2:18" s="28" customFormat="1">
      <c r="B43" s="70" t="s">
        <v>27</v>
      </c>
      <c r="C43" s="69">
        <f ca="1">VLOOKUP($M$8,INDIRECT("'LUAN VAN'!$B$4:$L$17"),9,0)</f>
        <v>0</v>
      </c>
      <c r="D43" s="69"/>
      <c r="E43" s="69"/>
      <c r="F43" s="54"/>
      <c r="G43" s="54"/>
      <c r="H43" s="42"/>
      <c r="I43" s="42" t="s">
        <v>33</v>
      </c>
      <c r="J43" s="32"/>
      <c r="K43" s="32"/>
      <c r="L43" s="32"/>
      <c r="M43" s="32"/>
      <c r="N43" s="208"/>
      <c r="O43" s="208"/>
      <c r="R43" s="30"/>
    </row>
    <row r="44" spans="2:18" s="28" customFormat="1">
      <c r="B44" s="70" t="s">
        <v>28</v>
      </c>
      <c r="C44" s="69">
        <f ca="1">VLOOKUP($M$8,INDIRECT("'LUAN VAN'!$B$4:$L$17"),10,0)</f>
        <v>0</v>
      </c>
      <c r="D44" s="69"/>
      <c r="E44" s="69"/>
      <c r="F44" s="54"/>
      <c r="G44" s="54"/>
      <c r="H44" s="42"/>
      <c r="I44" s="42" t="s">
        <v>35</v>
      </c>
      <c r="J44" s="32"/>
      <c r="K44" s="32"/>
      <c r="L44" s="32"/>
      <c r="M44" s="32"/>
      <c r="N44" s="32"/>
      <c r="O44" s="32"/>
      <c r="R44" s="30"/>
    </row>
    <row r="45" spans="2:18" s="28" customFormat="1">
      <c r="B45" s="70" t="s">
        <v>29</v>
      </c>
      <c r="C45" s="69">
        <f ca="1">VLOOKUP($M$8,INDIRECT("'LUAN VAN'!$B$4:$L$17"),11,0)</f>
        <v>0</v>
      </c>
      <c r="D45" s="69"/>
      <c r="E45" s="69"/>
      <c r="F45" s="207"/>
      <c r="G45" s="207"/>
      <c r="H45" s="42"/>
      <c r="I45" s="42" t="s">
        <v>31</v>
      </c>
      <c r="J45" s="32"/>
      <c r="K45" s="32"/>
      <c r="L45" s="32"/>
      <c r="M45" s="32"/>
      <c r="N45" s="32"/>
      <c r="O45" s="32"/>
      <c r="R45" s="30"/>
    </row>
    <row r="46" spans="2:18" s="42" customFormat="1">
      <c r="K46" s="55" t="str">
        <f ca="1">"Đà Nẵng, ngày " &amp; TEXT(DAY(TODAY()),"00") &amp; " tháng " &amp; TEXT(MONTH(TODAY()),"00") &amp; " năm " &amp; YEAR(TODAY())</f>
        <v>Đà Nẵng, ngày 31 tháng 03 năm 2022</v>
      </c>
      <c r="L46" s="55"/>
      <c r="N46" s="54"/>
      <c r="O46" s="54"/>
      <c r="R46" s="30"/>
    </row>
    <row r="47" spans="2:18">
      <c r="K47" s="61" t="s">
        <v>45</v>
      </c>
      <c r="L47" s="61"/>
      <c r="N47" s="32"/>
      <c r="O47" s="32"/>
    </row>
    <row r="48" spans="2:18">
      <c r="C48" s="61"/>
      <c r="D48" s="61"/>
      <c r="E48" s="61"/>
      <c r="K48" s="61" t="s">
        <v>46</v>
      </c>
      <c r="L48" s="61"/>
      <c r="N48" s="33"/>
      <c r="O48" s="33"/>
    </row>
    <row r="49" spans="3:15">
      <c r="C49" s="61"/>
      <c r="D49" s="61"/>
      <c r="E49" s="61"/>
      <c r="K49" s="61"/>
      <c r="L49" s="61"/>
      <c r="N49" s="31"/>
      <c r="O49" s="31"/>
    </row>
    <row r="50" spans="3:15">
      <c r="C50" s="62"/>
      <c r="D50" s="62"/>
      <c r="E50" s="62"/>
      <c r="K50" s="62"/>
      <c r="L50" s="62"/>
      <c r="N50" s="31"/>
      <c r="O50" s="31"/>
    </row>
    <row r="51" spans="3:15">
      <c r="C51" s="62"/>
      <c r="D51" s="62"/>
      <c r="E51" s="62"/>
      <c r="K51" s="62"/>
      <c r="L51" s="62"/>
      <c r="N51" s="31"/>
      <c r="O51" s="31"/>
    </row>
    <row r="52" spans="3:15">
      <c r="C52" s="63"/>
      <c r="D52" s="63"/>
      <c r="E52" s="63"/>
      <c r="K52" s="63" t="s">
        <v>47</v>
      </c>
      <c r="L52" s="63"/>
    </row>
  </sheetData>
  <mergeCells count="33">
    <mergeCell ref="B36:I36"/>
    <mergeCell ref="K36:M36"/>
    <mergeCell ref="B38:M39"/>
    <mergeCell ref="K30:L30"/>
    <mergeCell ref="K31:L31"/>
    <mergeCell ref="K32:L32"/>
    <mergeCell ref="K33:L33"/>
    <mergeCell ref="K34:L34"/>
    <mergeCell ref="K35:M35"/>
    <mergeCell ref="K29:L29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Q6:R6"/>
    <mergeCell ref="E14:I14"/>
    <mergeCell ref="K14:L14"/>
    <mergeCell ref="K15:L15"/>
    <mergeCell ref="K16:L16"/>
    <mergeCell ref="K17:L17"/>
    <mergeCell ref="C1:G1"/>
    <mergeCell ref="I1:M1"/>
    <mergeCell ref="C2:G2"/>
    <mergeCell ref="I2:M2"/>
    <mergeCell ref="B3:G4"/>
    <mergeCell ref="B6:M6"/>
  </mergeCells>
  <conditionalFormatting sqref="K15:L34">
    <cfRule type="cellIs" dxfId="16" priority="1" stopIfTrue="1" operator="lessThan">
      <formula>4</formula>
    </cfRule>
  </conditionalFormatting>
  <printOptions horizontalCentered="1"/>
  <pageMargins left="0.21" right="0.22" top="0.24" bottom="0.19" header="0.16" footer="0.16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53"/>
  <sheetViews>
    <sheetView showGridLines="0" topLeftCell="A10" zoomScale="110" zoomScaleNormal="110" workbookViewId="0">
      <selection activeCell="Q20" sqref="Q20"/>
    </sheetView>
  </sheetViews>
  <sheetFormatPr defaultRowHeight="16.5"/>
  <cols>
    <col min="1" max="1" width="0.42578125" style="30" customWidth="1"/>
    <col min="2" max="2" width="5.5703125" style="30" customWidth="1"/>
    <col min="3" max="4" width="8.28515625" style="30" customWidth="1"/>
    <col min="5" max="5" width="6" style="30" customWidth="1"/>
    <col min="6" max="6" width="2.28515625" style="30" customWidth="1"/>
    <col min="7" max="7" width="9" style="30" customWidth="1"/>
    <col min="8" max="8" width="5.42578125" style="30" customWidth="1"/>
    <col min="9" max="9" width="20.85546875" style="30" customWidth="1"/>
    <col min="10" max="11" width="8.7109375" style="30" customWidth="1"/>
    <col min="12" max="12" width="3.28515625" style="30" customWidth="1"/>
    <col min="13" max="13" width="13" style="30" customWidth="1"/>
    <col min="14" max="14" width="6.42578125" style="30" customWidth="1"/>
    <col min="15" max="15" width="4.42578125" style="30" customWidth="1"/>
    <col min="16" max="16384" width="9.140625" style="30"/>
  </cols>
  <sheetData>
    <row r="1" spans="2:20" s="53" customFormat="1" ht="17.25" customHeight="1">
      <c r="B1" s="52"/>
      <c r="C1" s="261" t="s">
        <v>9</v>
      </c>
      <c r="D1" s="261"/>
      <c r="E1" s="261"/>
      <c r="F1" s="261"/>
      <c r="G1" s="261"/>
      <c r="H1" s="44"/>
      <c r="I1" s="262" t="s">
        <v>14</v>
      </c>
      <c r="J1" s="262"/>
      <c r="K1" s="262"/>
      <c r="L1" s="262"/>
      <c r="M1" s="262"/>
      <c r="N1" s="26"/>
      <c r="O1" s="26"/>
    </row>
    <row r="2" spans="2:20" s="53" customFormat="1" ht="15.75" customHeight="1">
      <c r="B2" s="52"/>
      <c r="C2" s="263" t="s">
        <v>10</v>
      </c>
      <c r="D2" s="263"/>
      <c r="E2" s="263"/>
      <c r="F2" s="263"/>
      <c r="G2" s="263"/>
      <c r="H2" s="44"/>
      <c r="I2" s="264" t="s">
        <v>15</v>
      </c>
      <c r="J2" s="264"/>
      <c r="K2" s="264"/>
      <c r="L2" s="264"/>
      <c r="M2" s="264"/>
      <c r="N2" s="27"/>
      <c r="O2" s="27"/>
      <c r="T2" s="117" t="s">
        <v>163</v>
      </c>
    </row>
    <row r="3" spans="2:20" s="28" customFormat="1" ht="11.25" customHeight="1">
      <c r="B3" s="265" t="s">
        <v>53</v>
      </c>
      <c r="C3" s="265"/>
      <c r="D3" s="265"/>
      <c r="E3" s="265"/>
      <c r="F3" s="265"/>
      <c r="G3" s="265"/>
      <c r="H3" s="48"/>
      <c r="I3" s="51"/>
      <c r="J3" s="51"/>
      <c r="K3" s="51"/>
      <c r="L3" s="51"/>
      <c r="M3" s="50"/>
      <c r="N3" s="29"/>
      <c r="O3" s="29"/>
    </row>
    <row r="4" spans="2:20" s="28" customFormat="1" ht="14.25" customHeight="1">
      <c r="B4" s="265"/>
      <c r="C4" s="265"/>
      <c r="D4" s="265"/>
      <c r="E4" s="265"/>
      <c r="F4" s="265"/>
      <c r="G4" s="265"/>
      <c r="H4" s="48"/>
      <c r="I4" s="49"/>
      <c r="J4" s="51"/>
      <c r="K4" s="51"/>
      <c r="L4" s="51"/>
      <c r="M4" s="50"/>
      <c r="N4" s="29"/>
      <c r="O4" s="29"/>
    </row>
    <row r="5" spans="2:20" s="28" customFormat="1" ht="4.5" customHeight="1">
      <c r="B5" s="38"/>
      <c r="C5" s="38"/>
      <c r="D5" s="38"/>
      <c r="E5" s="38"/>
      <c r="F5" s="38"/>
      <c r="G5" s="38"/>
      <c r="H5" s="48"/>
      <c r="I5" s="48"/>
      <c r="J5" s="41"/>
      <c r="K5" s="41"/>
      <c r="L5" s="41"/>
      <c r="M5" s="40"/>
      <c r="N5" s="29"/>
      <c r="O5" s="29"/>
    </row>
    <row r="6" spans="2:20" s="28" customFormat="1" ht="27">
      <c r="B6" s="266" t="s">
        <v>16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9"/>
      <c r="O6" s="29"/>
      <c r="P6" s="125" t="s">
        <v>52</v>
      </c>
      <c r="Q6" s="267">
        <v>25311106124</v>
      </c>
      <c r="R6" s="267"/>
    </row>
    <row r="7" spans="2:20" s="28" customFormat="1" ht="5.25" customHeight="1">
      <c r="B7" s="38"/>
      <c r="C7" s="38"/>
      <c r="D7" s="38"/>
      <c r="E7" s="38"/>
      <c r="F7" s="38"/>
      <c r="G7" s="38"/>
      <c r="H7" s="48"/>
      <c r="I7" s="48"/>
      <c r="J7" s="41"/>
      <c r="K7" s="41"/>
      <c r="L7" s="41"/>
      <c r="M7" s="40"/>
      <c r="N7" s="29"/>
      <c r="O7" s="29"/>
    </row>
    <row r="8" spans="2:20" s="42" customFormat="1" ht="15">
      <c r="B8" s="166" t="str">
        <f ca="1">"Cấp cho " &amp; IF(VLOOKUP($M$8,INDIRECT($T$2&amp;"!$B$6:$F$69"),4,0)="Nam","Ông","Bà")</f>
        <v>Cấp cho Ông</v>
      </c>
      <c r="C8" s="167"/>
      <c r="D8" s="167"/>
      <c r="E8" s="167"/>
      <c r="F8" s="166" t="s">
        <v>11</v>
      </c>
      <c r="G8" s="168" t="str">
        <f ca="1">VLOOKUP($M$8,INDIRECT($T$2&amp;"!$B$6:$F$69"),2,0)&amp; " " &amp;VLOOKUP($M$8,INDIRECT($T$2&amp;"!$B$6:$F$69"),3,0)</f>
        <v>Trần Thanh Sơn</v>
      </c>
      <c r="H8" s="169"/>
      <c r="I8" s="169"/>
      <c r="J8" s="167" t="s">
        <v>51</v>
      </c>
      <c r="K8" s="171"/>
      <c r="L8" s="172" t="s">
        <v>11</v>
      </c>
      <c r="M8" s="175">
        <f>$Q$6</f>
        <v>25311106124</v>
      </c>
      <c r="N8" s="170"/>
      <c r="O8" s="170"/>
    </row>
    <row r="9" spans="2:20" s="42" customFormat="1" ht="15">
      <c r="B9" s="166" t="s">
        <v>12</v>
      </c>
      <c r="C9" s="167"/>
      <c r="D9" s="167"/>
      <c r="E9" s="167"/>
      <c r="F9" s="166" t="s">
        <v>11</v>
      </c>
      <c r="G9" s="168" t="str">
        <f ca="1">TEXT(VLOOKUP($M$8,INDIRECT($T$2&amp;"!$B$6:$IV$65536"),5,0),"dd/mm/yyyy")</f>
        <v>16/11/1981</v>
      </c>
      <c r="H9" s="166"/>
      <c r="I9" s="166"/>
      <c r="J9" s="167" t="s">
        <v>37</v>
      </c>
      <c r="K9" s="171"/>
      <c r="L9" s="172" t="s">
        <v>11</v>
      </c>
      <c r="M9" s="173" t="str">
        <f ca="1">VLOOKUP($M$8,INDIRECT($T$2&amp;"!$B$6:$IV$65536"),6,0)</f>
        <v>Quảng Nam</v>
      </c>
      <c r="N9" s="54"/>
      <c r="O9" s="54"/>
    </row>
    <row r="10" spans="2:20" s="42" customFormat="1" ht="15">
      <c r="B10" s="166" t="s">
        <v>13</v>
      </c>
      <c r="C10" s="167"/>
      <c r="D10" s="167"/>
      <c r="E10" s="167"/>
      <c r="F10" s="166" t="s">
        <v>11</v>
      </c>
      <c r="G10" s="169" t="s">
        <v>164</v>
      </c>
      <c r="H10" s="166"/>
      <c r="I10" s="172"/>
      <c r="J10" s="167" t="s">
        <v>38</v>
      </c>
      <c r="K10" s="171"/>
      <c r="L10" s="172" t="s">
        <v>11</v>
      </c>
      <c r="M10" s="171" t="s">
        <v>160</v>
      </c>
      <c r="N10" s="54"/>
      <c r="O10" s="54"/>
    </row>
    <row r="11" spans="2:20" s="42" customFormat="1" ht="15">
      <c r="B11" s="167" t="s">
        <v>156</v>
      </c>
      <c r="C11" s="166"/>
      <c r="D11" s="166"/>
      <c r="E11" s="166"/>
      <c r="F11" s="166" t="s">
        <v>11</v>
      </c>
      <c r="G11" s="169" t="s">
        <v>54</v>
      </c>
      <c r="H11" s="171"/>
      <c r="I11" s="171"/>
      <c r="N11" s="174"/>
      <c r="O11" s="54"/>
    </row>
    <row r="12" spans="2:20" s="28" customFormat="1" ht="15.75">
      <c r="B12" s="42" t="s">
        <v>157</v>
      </c>
      <c r="C12" s="176"/>
      <c r="D12" s="176"/>
      <c r="E12" s="176"/>
      <c r="F12" s="176" t="s">
        <v>11</v>
      </c>
      <c r="G12" s="170" t="s">
        <v>158</v>
      </c>
      <c r="H12" s="122"/>
      <c r="I12" s="122"/>
      <c r="J12" s="121"/>
      <c r="K12" s="122"/>
      <c r="L12" s="123"/>
      <c r="M12" s="126"/>
      <c r="N12" s="124"/>
      <c r="O12" s="32"/>
    </row>
    <row r="13" spans="2:20" s="28" customFormat="1" ht="7.5" customHeight="1">
      <c r="C13" s="57"/>
      <c r="D13" s="57"/>
      <c r="E13" s="57"/>
      <c r="F13" s="56"/>
      <c r="G13" s="56"/>
      <c r="H13" s="58"/>
      <c r="I13" s="58"/>
      <c r="J13" s="58"/>
      <c r="K13" s="59"/>
      <c r="L13" s="59"/>
      <c r="M13" s="59"/>
      <c r="N13" s="31"/>
      <c r="O13" s="31"/>
    </row>
    <row r="14" spans="2:20" s="28" customFormat="1" ht="30" customHeight="1">
      <c r="B14" s="164" t="s">
        <v>0</v>
      </c>
      <c r="C14" s="107" t="s">
        <v>39</v>
      </c>
      <c r="D14" s="107" t="s">
        <v>40</v>
      </c>
      <c r="E14" s="268" t="s">
        <v>41</v>
      </c>
      <c r="F14" s="268"/>
      <c r="G14" s="268"/>
      <c r="H14" s="268"/>
      <c r="I14" s="269"/>
      <c r="J14" s="107" t="s">
        <v>42</v>
      </c>
      <c r="K14" s="270" t="s">
        <v>43</v>
      </c>
      <c r="L14" s="271"/>
      <c r="M14" s="165" t="s">
        <v>159</v>
      </c>
      <c r="N14" s="60"/>
      <c r="O14" s="60"/>
    </row>
    <row r="15" spans="2:20" s="28" customFormat="1" ht="15.75" customHeight="1">
      <c r="B15" s="108">
        <v>1</v>
      </c>
      <c r="C15" s="178" t="str">
        <f ca="1">SUBSTITUTE(INDEX(INDIRECT($T$2&amp;"!$B$4:$DK$5"),1,BD!N15+3),D15,"")</f>
        <v>PHI</v>
      </c>
      <c r="D15" s="178" t="str">
        <f ca="1">RIGHT(INDEX(INDIRECT($T$2&amp;"!$B$4:$DK$5"),1,BD!N15+3),3)</f>
        <v>550</v>
      </c>
      <c r="E15" s="179" t="str">
        <f ca="1">INDEX(INDIRECT($T$2&amp;"!$B$4:$DK$5"),1,BD!N15)</f>
        <v>Triết học</v>
      </c>
      <c r="F15" s="179"/>
      <c r="G15" s="179"/>
      <c r="H15" s="179"/>
      <c r="I15" s="180"/>
      <c r="J15" s="118">
        <f ca="1">INDEX(INDIRECT($T$2&amp;"!$B$4:$DK$5"),2,N15+3)</f>
        <v>3</v>
      </c>
      <c r="K15" s="259">
        <f>VLOOKUP($Q$6,K20MCS!$B$6:$CI$18,BD!O15,0)</f>
        <v>6.9</v>
      </c>
      <c r="L15" s="260"/>
      <c r="M15" s="119"/>
      <c r="N15" s="177">
        <v>7</v>
      </c>
      <c r="O15" s="177">
        <v>10</v>
      </c>
    </row>
    <row r="16" spans="2:20" s="28" customFormat="1" ht="15.75" customHeight="1">
      <c r="B16" s="112">
        <f>B15+1</f>
        <v>2</v>
      </c>
      <c r="C16" s="109" t="str">
        <f ca="1">SUBSTITUTE(INDEX(INDIRECT($T$2&amp;"!$B$4:$DK$5"),1,BD!N16+3),D16,"")</f>
        <v>ENG</v>
      </c>
      <c r="D16" s="109" t="str">
        <f ca="1">RIGHT(INDEX(INDIRECT($T$2&amp;"!$B$4:$DK$5"),1,BD!N16+3),3)</f>
        <v>601</v>
      </c>
      <c r="E16" s="110" t="str">
        <f ca="1">INDEX(INDIRECT($T$2&amp;"!$B$4:$DK$5"),1,BD!N16)</f>
        <v>Tiếng Anh 1</v>
      </c>
      <c r="F16" s="110"/>
      <c r="G16" s="110"/>
      <c r="H16" s="110"/>
      <c r="I16" s="111"/>
      <c r="J16" s="118">
        <f t="shared" ref="J16:J34" ca="1" si="0">INDEX(INDIRECT($T$2&amp;"!$B$4:$DK$5"),2,N16+3)</f>
        <v>3</v>
      </c>
      <c r="K16" s="259">
        <f>VLOOKUP($Q$6,K20MCS!$B$6:$CI$18,BD!O16,0)</f>
        <v>8.1999999999999993</v>
      </c>
      <c r="L16" s="260"/>
      <c r="M16" s="119"/>
      <c r="N16" s="177">
        <f>N15+4</f>
        <v>11</v>
      </c>
      <c r="O16" s="177">
        <f>O15+4</f>
        <v>14</v>
      </c>
    </row>
    <row r="17" spans="2:18" s="28" customFormat="1" ht="15.75" customHeight="1">
      <c r="B17" s="112">
        <f t="shared" ref="B17:B34" si="1">B16+1</f>
        <v>3</v>
      </c>
      <c r="C17" s="109" t="str">
        <f ca="1">SUBSTITUTE(INDEX(INDIRECT($T$2&amp;"!$B$4:$DK$5"),1,BD!N17+3),D17,"")</f>
        <v>ENG</v>
      </c>
      <c r="D17" s="109" t="str">
        <f ca="1">RIGHT(INDEX(INDIRECT($T$2&amp;"!$B$4:$DK$5"),1,BD!N17+3),3)</f>
        <v>602</v>
      </c>
      <c r="E17" s="110" t="str">
        <f ca="1">INDEX(INDIRECT($T$2&amp;"!$B$4:$DK$5"),1,BD!N17)</f>
        <v>Tiếng Anh 2</v>
      </c>
      <c r="F17" s="110"/>
      <c r="G17" s="110"/>
      <c r="H17" s="110"/>
      <c r="I17" s="111"/>
      <c r="J17" s="118">
        <f t="shared" ca="1" si="0"/>
        <v>3</v>
      </c>
      <c r="K17" s="259">
        <f>VLOOKUP($Q$6,K20MCS!$B$6:$CI$18,BD!O17,0)</f>
        <v>8.6</v>
      </c>
      <c r="L17" s="260"/>
      <c r="M17" s="119"/>
      <c r="N17" s="177">
        <f t="shared" ref="N17:N34" si="2">N16+4</f>
        <v>15</v>
      </c>
      <c r="O17" s="177">
        <f t="shared" ref="O17:O34" si="3">O16+4</f>
        <v>18</v>
      </c>
    </row>
    <row r="18" spans="2:18" s="28" customFormat="1" ht="15.75" customHeight="1">
      <c r="B18" s="112">
        <f t="shared" si="1"/>
        <v>4</v>
      </c>
      <c r="C18" s="109" t="str">
        <f ca="1">SUBSTITUTE(INDEX(INDIRECT($T$2&amp;"!$B$4:$DK$5"),1,BD!N18+3),D18,"")</f>
        <v>ENG</v>
      </c>
      <c r="D18" s="109" t="str">
        <f ca="1">RIGHT(INDEX(INDIRECT($T$2&amp;"!$B$4:$DK$5"),1,BD!N18+3),3)</f>
        <v>701</v>
      </c>
      <c r="E18" s="110" t="str">
        <f ca="1">INDEX(INDIRECT($T$2&amp;"!$B$4:$DK$5"),1,BD!N18)</f>
        <v>Tiếng Anh 3</v>
      </c>
      <c r="F18" s="110"/>
      <c r="G18" s="110"/>
      <c r="H18" s="110"/>
      <c r="I18" s="111"/>
      <c r="J18" s="118">
        <f t="shared" ca="1" si="0"/>
        <v>3</v>
      </c>
      <c r="K18" s="259">
        <f>VLOOKUP($Q$6,K20MCS!$B$6:$CI$18,BD!O18,0)</f>
        <v>8.3000000000000007</v>
      </c>
      <c r="L18" s="260"/>
      <c r="M18" s="119"/>
      <c r="N18" s="177">
        <f t="shared" si="2"/>
        <v>19</v>
      </c>
      <c r="O18" s="177">
        <f t="shared" si="3"/>
        <v>22</v>
      </c>
    </row>
    <row r="19" spans="2:18" s="28" customFormat="1" ht="15.75" customHeight="1">
      <c r="B19" s="112">
        <f t="shared" si="1"/>
        <v>5</v>
      </c>
      <c r="C19" s="109" t="str">
        <f ca="1">SUBSTITUTE(INDEX(INDIRECT($T$2&amp;"!$B$4:$DK$5"),1,BD!N19+3),D19,"")</f>
        <v>PHI</v>
      </c>
      <c r="D19" s="109" t="str">
        <f ca="1">RIGHT(INDEX(INDIRECT($T$2&amp;"!$B$4:$DK$5"),1,BD!N19+3),3)</f>
        <v>600</v>
      </c>
      <c r="E19" s="110" t="str">
        <f ca="1">INDEX(INDIRECT($T$2&amp;"!$B$4:$DK$5"),1,BD!N19)</f>
        <v>Phương pháp luận nghiên cứu khoa học</v>
      </c>
      <c r="F19" s="110"/>
      <c r="G19" s="110"/>
      <c r="H19" s="110"/>
      <c r="I19" s="111"/>
      <c r="J19" s="118">
        <f t="shared" ca="1" si="0"/>
        <v>2</v>
      </c>
      <c r="K19" s="259">
        <f>VLOOKUP($Q$6,K20MCS!$B$6:$CI$18,BD!O19,0)</f>
        <v>8</v>
      </c>
      <c r="L19" s="260"/>
      <c r="M19" s="119"/>
      <c r="N19" s="177">
        <f t="shared" si="2"/>
        <v>23</v>
      </c>
      <c r="O19" s="177">
        <f t="shared" si="3"/>
        <v>26</v>
      </c>
    </row>
    <row r="20" spans="2:18" s="28" customFormat="1" ht="15.75" customHeight="1">
      <c r="B20" s="112">
        <f t="shared" si="1"/>
        <v>6</v>
      </c>
      <c r="C20" s="109" t="str">
        <f ca="1">SUBSTITUTE(INDEX(INDIRECT($T$2&amp;"!$B$4:$DK$5"),1,BD!N20+3),D20,"")</f>
        <v>CS</v>
      </c>
      <c r="D20" s="109" t="str">
        <f ca="1">RIGHT(INDEX(INDIRECT($T$2&amp;"!$B$4:$DK$5"),1,BD!N20+3),3)</f>
        <v>676</v>
      </c>
      <c r="E20" s="110" t="str">
        <f ca="1">INDEX(INDIRECT($T$2&amp;"!$B$4:$DK$5"),1,BD!N20)</f>
        <v>An toàn và bảo mật thông tin</v>
      </c>
      <c r="F20" s="110"/>
      <c r="G20" s="110"/>
      <c r="H20" s="110"/>
      <c r="I20" s="111"/>
      <c r="J20" s="118">
        <f t="shared" ca="1" si="0"/>
        <v>2</v>
      </c>
      <c r="K20" s="259">
        <f>VLOOKUP($Q$6,K20MCS!$B$6:$CI$18,BD!O20,0)</f>
        <v>7.6</v>
      </c>
      <c r="L20" s="260"/>
      <c r="M20" s="119"/>
      <c r="N20" s="177">
        <f t="shared" si="2"/>
        <v>27</v>
      </c>
      <c r="O20" s="177">
        <f t="shared" si="3"/>
        <v>30</v>
      </c>
    </row>
    <row r="21" spans="2:18" s="28" customFormat="1" ht="15.75" customHeight="1">
      <c r="B21" s="112">
        <f t="shared" si="1"/>
        <v>7</v>
      </c>
      <c r="C21" s="109" t="str">
        <f ca="1">SUBSTITUTE(INDEX(INDIRECT($T$2&amp;"!$B$4:$DK$5"),1,BD!N21+3),D21,"")</f>
        <v>IS</v>
      </c>
      <c r="D21" s="109" t="str">
        <f ca="1">RIGHT(INDEX(INDIRECT($T$2&amp;"!$B$4:$DK$5"),1,BD!N21+3),3)</f>
        <v>701</v>
      </c>
      <c r="E21" s="110" t="str">
        <f ca="1">INDEX(INDIRECT($T$2&amp;"!$B$4:$DK$5"),1,BD!N21)</f>
        <v>Cơ sở dữ liệu nâng cao</v>
      </c>
      <c r="F21" s="110"/>
      <c r="G21" s="110"/>
      <c r="H21" s="110"/>
      <c r="I21" s="111"/>
      <c r="J21" s="118">
        <f t="shared" ca="1" si="0"/>
        <v>3</v>
      </c>
      <c r="K21" s="259">
        <f>VLOOKUP($Q$6,K20MCS!$B$6:$CI$18,BD!O21,0)</f>
        <v>9.3000000000000007</v>
      </c>
      <c r="L21" s="260"/>
      <c r="M21" s="119"/>
      <c r="N21" s="177">
        <f t="shared" si="2"/>
        <v>31</v>
      </c>
      <c r="O21" s="177">
        <f t="shared" si="3"/>
        <v>34</v>
      </c>
    </row>
    <row r="22" spans="2:18" s="28" customFormat="1" ht="15.75" customHeight="1">
      <c r="B22" s="112">
        <f t="shared" si="1"/>
        <v>8</v>
      </c>
      <c r="C22" s="109" t="str">
        <f ca="1">SUBSTITUTE(INDEX(INDIRECT($T$2&amp;"!$B$4:$DK$5"),1,BD!N22+3),D22,"")</f>
        <v>CS</v>
      </c>
      <c r="D22" s="109" t="str">
        <f ca="1">RIGHT(INDEX(INDIRECT($T$2&amp;"!$B$4:$DK$5"),1,BD!N22+3),3)</f>
        <v>616</v>
      </c>
      <c r="E22" s="110" t="str">
        <f ca="1">INDEX(INDIRECT($T$2&amp;"!$B$4:$DK$5"),1,BD!N22)</f>
        <v>Cấu trúc dữ liệu &amp; giải thuật nâng cao</v>
      </c>
      <c r="F22" s="110"/>
      <c r="G22" s="110"/>
      <c r="H22" s="110"/>
      <c r="I22" s="111"/>
      <c r="J22" s="118">
        <f t="shared" ca="1" si="0"/>
        <v>2</v>
      </c>
      <c r="K22" s="259">
        <f>VLOOKUP($Q$6,K20MCS!$B$6:$CI$18,BD!O22,0)</f>
        <v>8</v>
      </c>
      <c r="L22" s="260"/>
      <c r="M22" s="119"/>
      <c r="N22" s="177">
        <f t="shared" si="2"/>
        <v>35</v>
      </c>
      <c r="O22" s="177">
        <f t="shared" si="3"/>
        <v>38</v>
      </c>
    </row>
    <row r="23" spans="2:18" s="28" customFormat="1" ht="15.75" customHeight="1">
      <c r="B23" s="112">
        <f t="shared" si="1"/>
        <v>9</v>
      </c>
      <c r="C23" s="109" t="str">
        <f ca="1">SUBSTITUTE(INDEX(INDIRECT($T$2&amp;"!$B$4:$DK$5"),1,BD!N23+3),D23,"")</f>
        <v>CS</v>
      </c>
      <c r="D23" s="109" t="str">
        <f ca="1">RIGHT(INDEX(INDIRECT($T$2&amp;"!$B$4:$DK$5"),1,BD!N23+3),3)</f>
        <v>672</v>
      </c>
      <c r="E23" s="110" t="str">
        <f ca="1">INDEX(INDIRECT($T$2&amp;"!$B$4:$DK$5"),1,BD!N23)</f>
        <v>Mạng và truyền dữ liệu nâng cao</v>
      </c>
      <c r="F23" s="110"/>
      <c r="G23" s="110"/>
      <c r="H23" s="110"/>
      <c r="I23" s="111"/>
      <c r="J23" s="118">
        <f t="shared" ca="1" si="0"/>
        <v>3</v>
      </c>
      <c r="K23" s="259">
        <f>VLOOKUP($Q$6,K20MCS!$B$6:$CI$18,BD!O23,0)</f>
        <v>8.1999999999999993</v>
      </c>
      <c r="L23" s="260"/>
      <c r="M23" s="119"/>
      <c r="N23" s="177">
        <f t="shared" si="2"/>
        <v>39</v>
      </c>
      <c r="O23" s="177">
        <f t="shared" si="3"/>
        <v>42</v>
      </c>
      <c r="R23" s="42"/>
    </row>
    <row r="24" spans="2:18" s="28" customFormat="1" ht="15.75" customHeight="1">
      <c r="B24" s="112">
        <f t="shared" si="1"/>
        <v>10</v>
      </c>
      <c r="C24" s="109" t="str">
        <f ca="1">SUBSTITUTE(INDEX(INDIRECT($T$2&amp;"!$B$4:$DK$5"),1,BD!N24+3),D24,"")</f>
        <v>CS</v>
      </c>
      <c r="D24" s="109" t="str">
        <f ca="1">RIGHT(INDEX(INDIRECT($T$2&amp;"!$B$4:$DK$5"),1,BD!N24+3),3)</f>
        <v>641</v>
      </c>
      <c r="E24" s="110" t="str">
        <f ca="1">INDEX(INDIRECT($T$2&amp;"!$B$4:$DK$5"),1,BD!N24)</f>
        <v>Lý thuyết nhận dạng( xử lý ảnh)</v>
      </c>
      <c r="F24" s="110"/>
      <c r="G24" s="110"/>
      <c r="H24" s="110"/>
      <c r="I24" s="111"/>
      <c r="J24" s="118">
        <f t="shared" ca="1" si="0"/>
        <v>3</v>
      </c>
      <c r="K24" s="259">
        <f>VLOOKUP($Q$6,K20MCS!$B$6:$CI$18,BD!O24,0)</f>
        <v>6.9</v>
      </c>
      <c r="L24" s="260"/>
      <c r="M24" s="119"/>
      <c r="N24" s="177">
        <f t="shared" si="2"/>
        <v>43</v>
      </c>
      <c r="O24" s="177">
        <f t="shared" si="3"/>
        <v>46</v>
      </c>
      <c r="R24" s="42"/>
    </row>
    <row r="25" spans="2:18" s="28" customFormat="1" ht="15.75" customHeight="1">
      <c r="B25" s="112">
        <f t="shared" si="1"/>
        <v>11</v>
      </c>
      <c r="C25" s="109" t="str">
        <f ca="1">SUBSTITUTE(INDEX(INDIRECT($T$2&amp;"!$B$4:$DK$5"),1,BD!N25+3),D25,"")</f>
        <v>CS</v>
      </c>
      <c r="D25" s="109" t="str">
        <f ca="1">RIGHT(INDEX(INDIRECT($T$2&amp;"!$B$4:$DK$5"),1,BD!N25+3),3)</f>
        <v>511</v>
      </c>
      <c r="E25" s="110" t="str">
        <f ca="1">INDEX(INDIRECT($T$2&amp;"!$B$4:$DK$5"),1,BD!N25)</f>
        <v>Lập trình hướng đối tượng</v>
      </c>
      <c r="F25" s="110"/>
      <c r="G25" s="110"/>
      <c r="H25" s="110"/>
      <c r="I25" s="111"/>
      <c r="J25" s="118">
        <f t="shared" ca="1" si="0"/>
        <v>3</v>
      </c>
      <c r="K25" s="259">
        <f>VLOOKUP($Q$6,K20MCS!$B$6:$CI$18,BD!O25,0)</f>
        <v>8</v>
      </c>
      <c r="L25" s="260"/>
      <c r="M25" s="119"/>
      <c r="N25" s="177">
        <f t="shared" si="2"/>
        <v>47</v>
      </c>
      <c r="O25" s="177">
        <f t="shared" si="3"/>
        <v>50</v>
      </c>
      <c r="R25" s="30"/>
    </row>
    <row r="26" spans="2:18" s="28" customFormat="1" ht="15.75" customHeight="1">
      <c r="B26" s="112">
        <f t="shared" si="1"/>
        <v>12</v>
      </c>
      <c r="C26" s="109" t="str">
        <f ca="1">SUBSTITUTE(INDEX(INDIRECT($T$2&amp;"!$B$4:$DK$5"),1,BD!N26+3),D26,"")</f>
        <v>IS</v>
      </c>
      <c r="D26" s="109" t="str">
        <f ca="1">RIGHT(INDEX(INDIRECT($T$2&amp;"!$B$4:$DK$5"),1,BD!N26+3),3)</f>
        <v>722</v>
      </c>
      <c r="E26" s="110" t="str">
        <f ca="1">INDEX(INDIRECT($T$2&amp;"!$B$4:$DK$5"),1,BD!N26)</f>
        <v>Khai mỏ dữ liệu</v>
      </c>
      <c r="F26" s="110"/>
      <c r="G26" s="110"/>
      <c r="H26" s="110"/>
      <c r="I26" s="111"/>
      <c r="J26" s="118">
        <f t="shared" ca="1" si="0"/>
        <v>2</v>
      </c>
      <c r="K26" s="259">
        <f>VLOOKUP($Q$6,K20MCS!$B$6:$CI$18,BD!O26,0)</f>
        <v>8.3000000000000007</v>
      </c>
      <c r="L26" s="260"/>
      <c r="M26" s="119"/>
      <c r="N26" s="177">
        <f t="shared" si="2"/>
        <v>51</v>
      </c>
      <c r="O26" s="177">
        <f t="shared" si="3"/>
        <v>54</v>
      </c>
      <c r="R26" s="30"/>
    </row>
    <row r="27" spans="2:18" s="28" customFormat="1" ht="15.75" customHeight="1">
      <c r="B27" s="112">
        <f t="shared" si="1"/>
        <v>13</v>
      </c>
      <c r="C27" s="109" t="str">
        <f ca="1">SUBSTITUTE(INDEX(INDIRECT($T$2&amp;"!$B$4:$DK$5"),1,BD!N27+3),D27,"")</f>
        <v>MGO</v>
      </c>
      <c r="D27" s="109" t="str">
        <f ca="1">RIGHT(INDEX(INDIRECT($T$2&amp;"!$B$4:$DK$5"),1,BD!N27+3),3)</f>
        <v>703</v>
      </c>
      <c r="E27" s="110" t="str">
        <f ca="1">INDEX(INDIRECT($T$2&amp;"!$B$4:$DK$5"),1,BD!N27)</f>
        <v>Các mô hình ra quyết định</v>
      </c>
      <c r="F27" s="110"/>
      <c r="G27" s="110"/>
      <c r="H27" s="110"/>
      <c r="I27" s="111"/>
      <c r="J27" s="118">
        <f t="shared" ca="1" si="0"/>
        <v>3</v>
      </c>
      <c r="K27" s="259">
        <f>VLOOKUP($Q$6,K20MCS!$B$6:$CI$18,BD!O27,0)</f>
        <v>7.7</v>
      </c>
      <c r="L27" s="260"/>
      <c r="M27" s="119"/>
      <c r="N27" s="177">
        <f t="shared" si="2"/>
        <v>55</v>
      </c>
      <c r="O27" s="177">
        <f t="shared" si="3"/>
        <v>58</v>
      </c>
      <c r="R27" s="30"/>
    </row>
    <row r="28" spans="2:18" s="28" customFormat="1" ht="15.75" customHeight="1">
      <c r="B28" s="112">
        <f t="shared" si="1"/>
        <v>14</v>
      </c>
      <c r="C28" s="109" t="str">
        <f ca="1">SUBSTITUTE(INDEX(INDIRECT($T$2&amp;"!$B$4:$DK$5"),1,BD!N28+3),D28,"")</f>
        <v>IS</v>
      </c>
      <c r="D28" s="109" t="str">
        <f ca="1">RIGHT(INDEX(INDIRECT($T$2&amp;"!$B$4:$DK$5"),1,BD!N28+3),3)</f>
        <v>735</v>
      </c>
      <c r="E28" s="110" t="str">
        <f ca="1">INDEX(INDIRECT($T$2&amp;"!$B$4:$DK$5"),1,BD!N28)</f>
        <v>Hệ chuyên gia</v>
      </c>
      <c r="F28" s="110"/>
      <c r="G28" s="110"/>
      <c r="H28" s="110"/>
      <c r="I28" s="111"/>
      <c r="J28" s="118">
        <f t="shared" ca="1" si="0"/>
        <v>3</v>
      </c>
      <c r="K28" s="259">
        <f>VLOOKUP($Q$6,K20MCS!$B$6:$CI$18,BD!O28,0)</f>
        <v>9</v>
      </c>
      <c r="L28" s="260"/>
      <c r="M28" s="119"/>
      <c r="N28" s="177">
        <f t="shared" si="2"/>
        <v>59</v>
      </c>
      <c r="O28" s="177">
        <f t="shared" si="3"/>
        <v>62</v>
      </c>
      <c r="R28" s="30"/>
    </row>
    <row r="29" spans="2:18" s="28" customFormat="1" ht="15.75" customHeight="1">
      <c r="B29" s="112">
        <f t="shared" si="1"/>
        <v>15</v>
      </c>
      <c r="C29" s="109" t="str">
        <f ca="1">SUBSTITUTE(INDEX(INDIRECT($T$2&amp;"!$B$4:$DK$5"),1,BD!N29+3),D29,"")</f>
        <v>CS</v>
      </c>
      <c r="D29" s="109" t="str">
        <f ca="1">RIGHT(INDEX(INDIRECT($T$2&amp;"!$B$4:$DK$5"),1,BD!N29+3),3)</f>
        <v>669</v>
      </c>
      <c r="E29" s="110" t="str">
        <f ca="1">INDEX(INDIRECT($T$2&amp;"!$B$4:$DK$5"),1,BD!N29)</f>
        <v>Xử lý ngôn ngữ tự nhiên</v>
      </c>
      <c r="F29" s="110"/>
      <c r="G29" s="110"/>
      <c r="H29" s="110"/>
      <c r="I29" s="111"/>
      <c r="J29" s="118">
        <f t="shared" ca="1" si="0"/>
        <v>3</v>
      </c>
      <c r="K29" s="259">
        <f>VLOOKUP($Q$6,K20MCS!$B$6:$CI$18,BD!O29,0)</f>
        <v>8.9</v>
      </c>
      <c r="L29" s="260"/>
      <c r="M29" s="119"/>
      <c r="N29" s="177">
        <f t="shared" si="2"/>
        <v>63</v>
      </c>
      <c r="O29" s="177">
        <f t="shared" si="3"/>
        <v>66</v>
      </c>
      <c r="R29" s="30"/>
    </row>
    <row r="30" spans="2:18" s="28" customFormat="1" ht="15.75" customHeight="1">
      <c r="B30" s="112">
        <f t="shared" si="1"/>
        <v>16</v>
      </c>
      <c r="C30" s="109" t="str">
        <f ca="1">SUBSTITUTE(INDEX(INDIRECT($T$2&amp;"!$B$4:$DK$5"),1,BD!N30+3),D30,"")</f>
        <v>CS</v>
      </c>
      <c r="D30" s="109" t="str">
        <f ca="1">RIGHT(INDEX(INDIRECT($T$2&amp;"!$B$4:$DK$5"),1,BD!N30+3),3)</f>
        <v>753</v>
      </c>
      <c r="E30" s="110" t="str">
        <f ca="1">INDEX(INDIRECT($T$2&amp;"!$B$4:$DK$5"),1,BD!N30)</f>
        <v>Phân tích &amp; thiết kế hệ thống &amp; hướng đối tượng</v>
      </c>
      <c r="F30" s="110"/>
      <c r="G30" s="110"/>
      <c r="H30" s="110"/>
      <c r="I30" s="111"/>
      <c r="J30" s="118">
        <f t="shared" ca="1" si="0"/>
        <v>2</v>
      </c>
      <c r="K30" s="259">
        <f>VLOOKUP($Q$6,K20MCS!$B$6:$CI$18,BD!O30,0)</f>
        <v>7</v>
      </c>
      <c r="L30" s="260"/>
      <c r="M30" s="119"/>
      <c r="N30" s="177">
        <f t="shared" si="2"/>
        <v>67</v>
      </c>
      <c r="O30" s="177">
        <f t="shared" si="3"/>
        <v>70</v>
      </c>
      <c r="R30" s="30"/>
    </row>
    <row r="31" spans="2:18" s="28" customFormat="1" ht="15.75" customHeight="1">
      <c r="B31" s="112">
        <f t="shared" si="1"/>
        <v>17</v>
      </c>
      <c r="C31" s="109" t="str">
        <f ca="1">SUBSTITUTE(INDEX(INDIRECT($T$2&amp;"!$B$4:$DK$5"),1,BD!N31+3),D31,"")</f>
        <v>IS</v>
      </c>
      <c r="D31" s="109" t="str">
        <f ca="1">RIGHT(INDEX(INDIRECT($T$2&amp;"!$B$4:$DK$5"),1,BD!N31+3),3)</f>
        <v>632</v>
      </c>
      <c r="E31" s="110" t="str">
        <f ca="1">INDEX(INDIRECT($T$2&amp;"!$B$4:$DK$5"),1,BD!N31)</f>
        <v>Quản lý dự án phần mềm</v>
      </c>
      <c r="F31" s="110"/>
      <c r="G31" s="110"/>
      <c r="H31" s="110"/>
      <c r="I31" s="111"/>
      <c r="J31" s="118">
        <f t="shared" ca="1" si="0"/>
        <v>3</v>
      </c>
      <c r="K31" s="259">
        <f>VLOOKUP($Q$6,K20MCS!$B$6:$CI$18,BD!O31,0)</f>
        <v>9</v>
      </c>
      <c r="L31" s="260"/>
      <c r="M31" s="119"/>
      <c r="N31" s="177">
        <f t="shared" si="2"/>
        <v>71</v>
      </c>
      <c r="O31" s="177">
        <f t="shared" si="3"/>
        <v>74</v>
      </c>
      <c r="R31" s="30"/>
    </row>
    <row r="32" spans="2:18" s="28" customFormat="1" ht="15.75" customHeight="1">
      <c r="B32" s="112">
        <f t="shared" si="1"/>
        <v>18</v>
      </c>
      <c r="C32" s="109" t="str">
        <f ca="1">SUBSTITUTE(INDEX(INDIRECT($T$2&amp;"!$B$4:$DK$5"),1,BD!N32+3),D32,"")</f>
        <v>CS</v>
      </c>
      <c r="D32" s="109" t="str">
        <f ca="1">RIGHT(INDEX(INDIRECT($T$2&amp;"!$B$4:$DK$5"),1,BD!N32+3),3)</f>
        <v>663</v>
      </c>
      <c r="E32" s="110" t="str">
        <f ca="1">INDEX(INDIRECT($T$2&amp;"!$B$4:$DK$5"),1,BD!N32)</f>
        <v>Kiểm thử &amp; đảm bảo chất lượng phần mềm</v>
      </c>
      <c r="F32" s="110"/>
      <c r="G32" s="110"/>
      <c r="H32" s="110"/>
      <c r="I32" s="111"/>
      <c r="J32" s="118">
        <f t="shared" ca="1" si="0"/>
        <v>3</v>
      </c>
      <c r="K32" s="259">
        <f>VLOOKUP($Q$6,K20MCS!$B$6:$CI$18,BD!O32,0)</f>
        <v>7.7</v>
      </c>
      <c r="L32" s="260"/>
      <c r="M32" s="119"/>
      <c r="N32" s="177">
        <f t="shared" si="2"/>
        <v>75</v>
      </c>
      <c r="O32" s="177">
        <f t="shared" si="3"/>
        <v>78</v>
      </c>
      <c r="R32" s="30"/>
    </row>
    <row r="33" spans="2:18" s="28" customFormat="1" ht="15.75" customHeight="1">
      <c r="B33" s="112">
        <f t="shared" si="1"/>
        <v>19</v>
      </c>
      <c r="C33" s="109" t="str">
        <f ca="1">SUBSTITUTE(INDEX(INDIRECT($T$2&amp;"!$B$4:$DK$5"),1,BD!N33+3),D33,"")</f>
        <v>CS</v>
      </c>
      <c r="D33" s="109" t="str">
        <f ca="1">RIGHT(INDEX(INDIRECT($T$2&amp;"!$B$4:$DK$5"),1,BD!N33+3),3)</f>
        <v>720</v>
      </c>
      <c r="E33" s="110" t="str">
        <f ca="1">INDEX(INDIRECT($T$2&amp;"!$B$4:$DK$5"),1,BD!N33)</f>
        <v>Hệ phân tán</v>
      </c>
      <c r="F33" s="110"/>
      <c r="G33" s="110"/>
      <c r="H33" s="110"/>
      <c r="I33" s="111"/>
      <c r="J33" s="118">
        <f t="shared" ca="1" si="0"/>
        <v>3</v>
      </c>
      <c r="K33" s="259">
        <f>VLOOKUP($Q$6,K20MCS!$B$6:$CI$18,BD!O33,0)</f>
        <v>7.9</v>
      </c>
      <c r="L33" s="260"/>
      <c r="M33" s="119"/>
      <c r="N33" s="177">
        <f t="shared" si="2"/>
        <v>79</v>
      </c>
      <c r="O33" s="177">
        <f t="shared" si="3"/>
        <v>82</v>
      </c>
      <c r="R33" s="30"/>
    </row>
    <row r="34" spans="2:18" s="28" customFormat="1" ht="15.75" customHeight="1">
      <c r="B34" s="112">
        <f t="shared" si="1"/>
        <v>20</v>
      </c>
      <c r="C34" s="109" t="str">
        <f ca="1">SUBSTITUTE(INDEX(INDIRECT($T$2&amp;"!$B$4:$DK$5"),1,BD!N34+3),D34,"")</f>
        <v>CS</v>
      </c>
      <c r="D34" s="109" t="str">
        <f ca="1">RIGHT(INDEX(INDIRECT($T$2&amp;"!$B$4:$DK$5"),1,BD!N34+3),3)</f>
        <v>723</v>
      </c>
      <c r="E34" s="110" t="str">
        <f ca="1">INDEX(INDIRECT($T$2&amp;"!$B$4:$DK$5"),1,BD!N34)</f>
        <v>Mạng không dây nâng cao</v>
      </c>
      <c r="F34" s="110"/>
      <c r="G34" s="110"/>
      <c r="H34" s="110"/>
      <c r="I34" s="111"/>
      <c r="J34" s="118">
        <f t="shared" ca="1" si="0"/>
        <v>2</v>
      </c>
      <c r="K34" s="259">
        <f>VLOOKUP($Q$6,K20MCS!$B$6:$CI$18,BD!O34,0)</f>
        <v>8.1</v>
      </c>
      <c r="L34" s="260"/>
      <c r="M34" s="119"/>
      <c r="N34" s="177">
        <f t="shared" si="2"/>
        <v>83</v>
      </c>
      <c r="O34" s="177">
        <f t="shared" si="3"/>
        <v>86</v>
      </c>
      <c r="R34" s="30"/>
    </row>
    <row r="35" spans="2:18" s="46" customFormat="1" ht="19.5" customHeight="1">
      <c r="B35" s="113" t="s">
        <v>50</v>
      </c>
      <c r="C35" s="114"/>
      <c r="D35" s="114"/>
      <c r="E35" s="114"/>
      <c r="F35" s="114"/>
      <c r="G35" s="114"/>
      <c r="H35" s="114"/>
      <c r="I35" s="115"/>
      <c r="J35" s="258">
        <f ca="1">VLOOKUP($Q$6,INDIRECT($T$2&amp;"!$B$6:$IV$65536"),N$35-1,0)+SUMIF(K15:K34,"P",J15:J34)</f>
        <v>54</v>
      </c>
      <c r="K35" s="279">
        <f ca="1">VLOOKUP($M$8,INDIRECT($T$2&amp;"!$B$6:$IV$65536"),N$35,0)</f>
        <v>8.11</v>
      </c>
      <c r="L35" s="280"/>
      <c r="M35" s="281" t="e">
        <v>#N/A</v>
      </c>
      <c r="N35" s="64">
        <v>88</v>
      </c>
      <c r="R35" s="30"/>
    </row>
    <row r="36" spans="2:18" s="46" customFormat="1" ht="19.5" hidden="1" customHeight="1">
      <c r="B36" s="272" t="s">
        <v>44</v>
      </c>
      <c r="C36" s="273"/>
      <c r="D36" s="273"/>
      <c r="E36" s="273"/>
      <c r="F36" s="273"/>
      <c r="G36" s="273"/>
      <c r="H36" s="273"/>
      <c r="I36" s="274"/>
      <c r="J36" s="116">
        <v>8</v>
      </c>
      <c r="K36" s="275">
        <f ca="1">VLOOKUP($M$8,INDIRECT($T$2&amp;"!$B$6:$IV$65536"),N$36,0)</f>
        <v>0</v>
      </c>
      <c r="L36" s="276"/>
      <c r="M36" s="277" t="e">
        <v>#N/A</v>
      </c>
      <c r="N36" s="64">
        <f>N35+1</f>
        <v>89</v>
      </c>
      <c r="R36" s="30"/>
    </row>
    <row r="37" spans="2:18" s="28" customFormat="1" ht="3.75" customHeight="1">
      <c r="B37" s="45"/>
      <c r="C37" s="42"/>
      <c r="D37" s="42"/>
      <c r="E37" s="42"/>
      <c r="F37" s="45"/>
      <c r="G37" s="45"/>
      <c r="H37" s="45"/>
      <c r="I37" s="31"/>
      <c r="J37" s="31"/>
      <c r="K37" s="31"/>
      <c r="L37" s="31"/>
      <c r="M37" s="31"/>
      <c r="R37" s="30"/>
    </row>
    <row r="38" spans="2:18" s="28" customFormat="1" ht="15" hidden="1" customHeight="1">
      <c r="B38" s="278" t="str">
        <f ca="1">"Đề tài luận văn:"&amp;" "&amp;VLOOKUP($M$8,INDIRECT("'LUAN VAN'!$B$4:$Z$69"),6,0)</f>
        <v xml:space="preserve">Đề tài luận văn: 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R38" s="30"/>
    </row>
    <row r="39" spans="2:18" s="28" customFormat="1" ht="15" hidden="1" customHeight="1"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R39" s="30"/>
    </row>
    <row r="40" spans="2:18" s="28" customFormat="1" hidden="1">
      <c r="B40" s="47" t="str">
        <f ca="1">"Bảo vệ ngày "&amp;DAY(VLOOKUP($M$8,INDIRECT("'LUAN VAN'!$B$4:$M$17"),12,0))&amp;" tháng "&amp;MONTH(VLOOKUP(BD!$M$8,INDIRECT("'LUAN VAN'!$B$4:$M$17"),12,0))&amp;" năm "&amp;YEAR(VLOOKUP(BD!$M$8,INDIRECT("'LUAN VAN'!$B$4:$M$17"),12,0))&amp;" tại Hội đồng Chấm Luận văn gồm:"</f>
        <v>Bảo vệ ngày 0 tháng 1 năm 1900 tại Hội đồng Chấm Luận văn gồm:</v>
      </c>
      <c r="C40" s="42"/>
      <c r="D40" s="42"/>
      <c r="E40" s="42"/>
      <c r="F40" s="43"/>
      <c r="G40" s="43"/>
      <c r="H40" s="42"/>
      <c r="J40" s="39"/>
      <c r="K40" s="39"/>
      <c r="L40" s="39"/>
      <c r="M40" s="39"/>
      <c r="N40" s="31"/>
      <c r="O40" s="31"/>
      <c r="R40" s="30"/>
    </row>
    <row r="41" spans="2:18" s="28" customFormat="1" hidden="1">
      <c r="B41" s="70" t="s">
        <v>25</v>
      </c>
      <c r="C41" s="69">
        <f ca="1">VLOOKUP($M$8,INDIRECT("'LUAN VAN'!$B$4:$L$17"),7,0)</f>
        <v>0</v>
      </c>
      <c r="D41" s="69"/>
      <c r="E41" s="69"/>
      <c r="F41" s="54"/>
      <c r="G41" s="54"/>
      <c r="H41" s="42"/>
      <c r="I41" s="42" t="s">
        <v>30</v>
      </c>
      <c r="J41" s="32"/>
      <c r="K41" s="32"/>
      <c r="L41" s="32"/>
      <c r="M41" s="32"/>
      <c r="N41" s="31"/>
      <c r="O41" s="31"/>
      <c r="R41" s="30"/>
    </row>
    <row r="42" spans="2:18" s="28" customFormat="1" hidden="1">
      <c r="B42" s="70" t="s">
        <v>26</v>
      </c>
      <c r="C42" s="69">
        <f ca="1">VLOOKUP($M$8,INDIRECT("'LUAN VAN'!$B$4:$L$17"),8,0)</f>
        <v>0</v>
      </c>
      <c r="D42" s="69"/>
      <c r="E42" s="69"/>
      <c r="F42" s="54"/>
      <c r="G42" s="54"/>
      <c r="H42" s="42"/>
      <c r="I42" s="42" t="s">
        <v>32</v>
      </c>
      <c r="J42" s="32"/>
      <c r="K42" s="32"/>
      <c r="L42" s="32"/>
      <c r="M42" s="32"/>
      <c r="N42" s="32"/>
      <c r="O42" s="32"/>
      <c r="R42" s="30"/>
    </row>
    <row r="43" spans="2:18" s="28" customFormat="1" hidden="1">
      <c r="B43" s="70" t="s">
        <v>27</v>
      </c>
      <c r="C43" s="69">
        <f ca="1">VLOOKUP($M$8,INDIRECT("'LUAN VAN'!$B$4:$L$17"),9,0)</f>
        <v>0</v>
      </c>
      <c r="D43" s="69"/>
      <c r="E43" s="69"/>
      <c r="F43" s="54"/>
      <c r="G43" s="54"/>
      <c r="H43" s="42"/>
      <c r="I43" s="42" t="s">
        <v>33</v>
      </c>
      <c r="J43" s="32"/>
      <c r="K43" s="32"/>
      <c r="L43" s="32"/>
      <c r="M43" s="32"/>
      <c r="N43" s="39"/>
      <c r="O43" s="39"/>
      <c r="R43" s="30"/>
    </row>
    <row r="44" spans="2:18" s="28" customFormat="1" hidden="1">
      <c r="B44" s="70" t="s">
        <v>28</v>
      </c>
      <c r="C44" s="69">
        <f ca="1">VLOOKUP($M$8,INDIRECT("'LUAN VAN'!$B$4:$L$17"),10,0)</f>
        <v>0</v>
      </c>
      <c r="D44" s="69"/>
      <c r="E44" s="69"/>
      <c r="F44" s="54"/>
      <c r="G44" s="54"/>
      <c r="H44" s="42"/>
      <c r="I44" s="42" t="s">
        <v>35</v>
      </c>
      <c r="J44" s="32"/>
      <c r="K44" s="32"/>
      <c r="L44" s="32"/>
      <c r="M44" s="32"/>
      <c r="N44" s="32"/>
      <c r="O44" s="32"/>
      <c r="R44" s="30"/>
    </row>
    <row r="45" spans="2:18" s="28" customFormat="1" hidden="1">
      <c r="B45" s="70" t="s">
        <v>29</v>
      </c>
      <c r="C45" s="69">
        <f ca="1">VLOOKUP($M$8,INDIRECT("'LUAN VAN'!$B$4:$L$17"),11,0)</f>
        <v>0</v>
      </c>
      <c r="D45" s="69"/>
      <c r="E45" s="69"/>
      <c r="F45" s="43"/>
      <c r="G45" s="43"/>
      <c r="H45" s="42"/>
      <c r="I45" s="42" t="s">
        <v>31</v>
      </c>
      <c r="J45" s="32"/>
      <c r="K45" s="32"/>
      <c r="L45" s="32"/>
      <c r="M45" s="32"/>
      <c r="N45" s="32"/>
      <c r="O45" s="32"/>
      <c r="R45" s="30"/>
    </row>
    <row r="46" spans="2:18" s="42" customFormat="1">
      <c r="K46" s="55" t="str">
        <f ca="1">"Đà Nẵng, ngày " &amp; TEXT(DAY(TODAY()),"00") &amp; " tháng " &amp; TEXT(MONTH(TODAY()),"00") &amp; " năm " &amp; YEAR(TODAY())</f>
        <v>Đà Nẵng, ngày 31 tháng 03 năm 2022</v>
      </c>
      <c r="L46" s="55"/>
      <c r="N46" s="54"/>
      <c r="O46" s="54"/>
      <c r="R46" s="30"/>
    </row>
    <row r="47" spans="2:18" ht="15" customHeight="1">
      <c r="K47" s="61" t="s">
        <v>45</v>
      </c>
      <c r="L47" s="61"/>
      <c r="N47" s="32"/>
      <c r="O47" s="32"/>
    </row>
    <row r="48" spans="2:18" ht="13.5" customHeight="1">
      <c r="C48" s="61"/>
      <c r="D48" s="61"/>
      <c r="E48" s="61"/>
      <c r="K48" s="61" t="s">
        <v>227</v>
      </c>
      <c r="L48" s="61"/>
      <c r="N48" s="33"/>
      <c r="O48" s="33"/>
    </row>
    <row r="49" spans="3:15">
      <c r="C49" s="61"/>
      <c r="D49" s="61"/>
      <c r="E49" s="61"/>
      <c r="K49" s="61"/>
      <c r="L49" s="61"/>
      <c r="N49" s="31"/>
      <c r="O49" s="31"/>
    </row>
    <row r="50" spans="3:15">
      <c r="C50" s="62"/>
      <c r="D50" s="62"/>
      <c r="E50" s="62"/>
      <c r="K50" s="62"/>
      <c r="L50" s="62"/>
      <c r="N50" s="31"/>
      <c r="O50" s="31"/>
    </row>
    <row r="51" spans="3:15">
      <c r="C51" s="62"/>
      <c r="D51" s="62"/>
      <c r="E51" s="62"/>
      <c r="K51" s="62"/>
      <c r="L51" s="62"/>
      <c r="N51" s="31"/>
      <c r="O51" s="31"/>
    </row>
    <row r="52" spans="3:15">
      <c r="C52" s="62"/>
      <c r="D52" s="62"/>
      <c r="E52" s="62"/>
      <c r="K52" s="62"/>
      <c r="L52" s="62"/>
      <c r="N52" s="31"/>
      <c r="O52" s="31"/>
    </row>
    <row r="53" spans="3:15">
      <c r="C53" s="63"/>
      <c r="D53" s="63"/>
      <c r="E53" s="63"/>
      <c r="K53" s="63" t="s">
        <v>228</v>
      </c>
      <c r="L53" s="63"/>
    </row>
  </sheetData>
  <mergeCells count="33">
    <mergeCell ref="Q6:R6"/>
    <mergeCell ref="C1:G1"/>
    <mergeCell ref="I1:M1"/>
    <mergeCell ref="C2:G2"/>
    <mergeCell ref="I2:M2"/>
    <mergeCell ref="B3:G4"/>
    <mergeCell ref="B6:M6"/>
    <mergeCell ref="E14:I14"/>
    <mergeCell ref="K15:L15"/>
    <mergeCell ref="K16:L16"/>
    <mergeCell ref="K17:L17"/>
    <mergeCell ref="K14:L14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5:M35"/>
    <mergeCell ref="B36:I36"/>
    <mergeCell ref="K36:M36"/>
    <mergeCell ref="B38:M39"/>
    <mergeCell ref="K30:L30"/>
    <mergeCell ref="K31:L31"/>
    <mergeCell ref="K32:L32"/>
    <mergeCell ref="K33:L33"/>
    <mergeCell ref="K34:L34"/>
  </mergeCells>
  <conditionalFormatting sqref="K15:L34">
    <cfRule type="cellIs" dxfId="15" priority="1" stopIfTrue="1" operator="lessThan">
      <formula>4</formula>
    </cfRule>
  </conditionalFormatting>
  <printOptions horizontalCentered="1"/>
  <pageMargins left="0.21" right="0.22" top="0.24" bottom="0.19" header="0.16" footer="0.16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28" workbookViewId="0">
      <selection activeCell="N38" sqref="N38"/>
    </sheetView>
  </sheetViews>
  <sheetFormatPr defaultRowHeight="12.75"/>
  <cols>
    <col min="1" max="3" width="9.140625" style="159"/>
    <col min="4" max="4" width="32.5703125" style="159" bestFit="1" customWidth="1"/>
    <col min="5" max="7" width="9.140625" style="159"/>
    <col min="8" max="11" width="5.140625" style="159" customWidth="1"/>
    <col min="12" max="259" width="9.140625" style="159"/>
    <col min="260" max="260" width="32.5703125" style="159" bestFit="1" customWidth="1"/>
    <col min="261" max="263" width="9.140625" style="159"/>
    <col min="264" max="267" width="5.140625" style="159" customWidth="1"/>
    <col min="268" max="515" width="9.140625" style="159"/>
    <col min="516" max="516" width="32.5703125" style="159" bestFit="1" customWidth="1"/>
    <col min="517" max="519" width="9.140625" style="159"/>
    <col min="520" max="523" width="5.140625" style="159" customWidth="1"/>
    <col min="524" max="771" width="9.140625" style="159"/>
    <col min="772" max="772" width="32.5703125" style="159" bestFit="1" customWidth="1"/>
    <col min="773" max="775" width="9.140625" style="159"/>
    <col min="776" max="779" width="5.140625" style="159" customWidth="1"/>
    <col min="780" max="1027" width="9.140625" style="159"/>
    <col min="1028" max="1028" width="32.5703125" style="159" bestFit="1" customWidth="1"/>
    <col min="1029" max="1031" width="9.140625" style="159"/>
    <col min="1032" max="1035" width="5.140625" style="159" customWidth="1"/>
    <col min="1036" max="1283" width="9.140625" style="159"/>
    <col min="1284" max="1284" width="32.5703125" style="159" bestFit="1" customWidth="1"/>
    <col min="1285" max="1287" width="9.140625" style="159"/>
    <col min="1288" max="1291" width="5.140625" style="159" customWidth="1"/>
    <col min="1292" max="1539" width="9.140625" style="159"/>
    <col min="1540" max="1540" width="32.5703125" style="159" bestFit="1" customWidth="1"/>
    <col min="1541" max="1543" width="9.140625" style="159"/>
    <col min="1544" max="1547" width="5.140625" style="159" customWidth="1"/>
    <col min="1548" max="1795" width="9.140625" style="159"/>
    <col min="1796" max="1796" width="32.5703125" style="159" bestFit="1" customWidth="1"/>
    <col min="1797" max="1799" width="9.140625" style="159"/>
    <col min="1800" max="1803" width="5.140625" style="159" customWidth="1"/>
    <col min="1804" max="2051" width="9.140625" style="159"/>
    <col min="2052" max="2052" width="32.5703125" style="159" bestFit="1" customWidth="1"/>
    <col min="2053" max="2055" width="9.140625" style="159"/>
    <col min="2056" max="2059" width="5.140625" style="159" customWidth="1"/>
    <col min="2060" max="2307" width="9.140625" style="159"/>
    <col min="2308" max="2308" width="32.5703125" style="159" bestFit="1" customWidth="1"/>
    <col min="2309" max="2311" width="9.140625" style="159"/>
    <col min="2312" max="2315" width="5.140625" style="159" customWidth="1"/>
    <col min="2316" max="2563" width="9.140625" style="159"/>
    <col min="2564" max="2564" width="32.5703125" style="159" bestFit="1" customWidth="1"/>
    <col min="2565" max="2567" width="9.140625" style="159"/>
    <col min="2568" max="2571" width="5.140625" style="159" customWidth="1"/>
    <col min="2572" max="2819" width="9.140625" style="159"/>
    <col min="2820" max="2820" width="32.5703125" style="159" bestFit="1" customWidth="1"/>
    <col min="2821" max="2823" width="9.140625" style="159"/>
    <col min="2824" max="2827" width="5.140625" style="159" customWidth="1"/>
    <col min="2828" max="3075" width="9.140625" style="159"/>
    <col min="3076" max="3076" width="32.5703125" style="159" bestFit="1" customWidth="1"/>
    <col min="3077" max="3079" width="9.140625" style="159"/>
    <col min="3080" max="3083" width="5.140625" style="159" customWidth="1"/>
    <col min="3084" max="3331" width="9.140625" style="159"/>
    <col min="3332" max="3332" width="32.5703125" style="159" bestFit="1" customWidth="1"/>
    <col min="3333" max="3335" width="9.140625" style="159"/>
    <col min="3336" max="3339" width="5.140625" style="159" customWidth="1"/>
    <col min="3340" max="3587" width="9.140625" style="159"/>
    <col min="3588" max="3588" width="32.5703125" style="159" bestFit="1" customWidth="1"/>
    <col min="3589" max="3591" width="9.140625" style="159"/>
    <col min="3592" max="3595" width="5.140625" style="159" customWidth="1"/>
    <col min="3596" max="3843" width="9.140625" style="159"/>
    <col min="3844" max="3844" width="32.5703125" style="159" bestFit="1" customWidth="1"/>
    <col min="3845" max="3847" width="9.140625" style="159"/>
    <col min="3848" max="3851" width="5.140625" style="159" customWidth="1"/>
    <col min="3852" max="4099" width="9.140625" style="159"/>
    <col min="4100" max="4100" width="32.5703125" style="159" bestFit="1" customWidth="1"/>
    <col min="4101" max="4103" width="9.140625" style="159"/>
    <col min="4104" max="4107" width="5.140625" style="159" customWidth="1"/>
    <col min="4108" max="4355" width="9.140625" style="159"/>
    <col min="4356" max="4356" width="32.5703125" style="159" bestFit="1" customWidth="1"/>
    <col min="4357" max="4359" width="9.140625" style="159"/>
    <col min="4360" max="4363" width="5.140625" style="159" customWidth="1"/>
    <col min="4364" max="4611" width="9.140625" style="159"/>
    <col min="4612" max="4612" width="32.5703125" style="159" bestFit="1" customWidth="1"/>
    <col min="4613" max="4615" width="9.140625" style="159"/>
    <col min="4616" max="4619" width="5.140625" style="159" customWidth="1"/>
    <col min="4620" max="4867" width="9.140625" style="159"/>
    <col min="4868" max="4868" width="32.5703125" style="159" bestFit="1" customWidth="1"/>
    <col min="4869" max="4871" width="9.140625" style="159"/>
    <col min="4872" max="4875" width="5.140625" style="159" customWidth="1"/>
    <col min="4876" max="5123" width="9.140625" style="159"/>
    <col min="5124" max="5124" width="32.5703125" style="159" bestFit="1" customWidth="1"/>
    <col min="5125" max="5127" width="9.140625" style="159"/>
    <col min="5128" max="5131" width="5.140625" style="159" customWidth="1"/>
    <col min="5132" max="5379" width="9.140625" style="159"/>
    <col min="5380" max="5380" width="32.5703125" style="159" bestFit="1" customWidth="1"/>
    <col min="5381" max="5383" width="9.140625" style="159"/>
    <col min="5384" max="5387" width="5.140625" style="159" customWidth="1"/>
    <col min="5388" max="5635" width="9.140625" style="159"/>
    <col min="5636" max="5636" width="32.5703125" style="159" bestFit="1" customWidth="1"/>
    <col min="5637" max="5639" width="9.140625" style="159"/>
    <col min="5640" max="5643" width="5.140625" style="159" customWidth="1"/>
    <col min="5644" max="5891" width="9.140625" style="159"/>
    <col min="5892" max="5892" width="32.5703125" style="159" bestFit="1" customWidth="1"/>
    <col min="5893" max="5895" width="9.140625" style="159"/>
    <col min="5896" max="5899" width="5.140625" style="159" customWidth="1"/>
    <col min="5900" max="6147" width="9.140625" style="159"/>
    <col min="6148" max="6148" width="32.5703125" style="159" bestFit="1" customWidth="1"/>
    <col min="6149" max="6151" width="9.140625" style="159"/>
    <col min="6152" max="6155" width="5.140625" style="159" customWidth="1"/>
    <col min="6156" max="6403" width="9.140625" style="159"/>
    <col min="6404" max="6404" width="32.5703125" style="159" bestFit="1" customWidth="1"/>
    <col min="6405" max="6407" width="9.140625" style="159"/>
    <col min="6408" max="6411" width="5.140625" style="159" customWidth="1"/>
    <col min="6412" max="6659" width="9.140625" style="159"/>
    <col min="6660" max="6660" width="32.5703125" style="159" bestFit="1" customWidth="1"/>
    <col min="6661" max="6663" width="9.140625" style="159"/>
    <col min="6664" max="6667" width="5.140625" style="159" customWidth="1"/>
    <col min="6668" max="6915" width="9.140625" style="159"/>
    <col min="6916" max="6916" width="32.5703125" style="159" bestFit="1" customWidth="1"/>
    <col min="6917" max="6919" width="9.140625" style="159"/>
    <col min="6920" max="6923" width="5.140625" style="159" customWidth="1"/>
    <col min="6924" max="7171" width="9.140625" style="159"/>
    <col min="7172" max="7172" width="32.5703125" style="159" bestFit="1" customWidth="1"/>
    <col min="7173" max="7175" width="9.140625" style="159"/>
    <col min="7176" max="7179" width="5.140625" style="159" customWidth="1"/>
    <col min="7180" max="7427" width="9.140625" style="159"/>
    <col min="7428" max="7428" width="32.5703125" style="159" bestFit="1" customWidth="1"/>
    <col min="7429" max="7431" width="9.140625" style="159"/>
    <col min="7432" max="7435" width="5.140625" style="159" customWidth="1"/>
    <col min="7436" max="7683" width="9.140625" style="159"/>
    <col min="7684" max="7684" width="32.5703125" style="159" bestFit="1" customWidth="1"/>
    <col min="7685" max="7687" width="9.140625" style="159"/>
    <col min="7688" max="7691" width="5.140625" style="159" customWidth="1"/>
    <col min="7692" max="7939" width="9.140625" style="159"/>
    <col min="7940" max="7940" width="32.5703125" style="159" bestFit="1" customWidth="1"/>
    <col min="7941" max="7943" width="9.140625" style="159"/>
    <col min="7944" max="7947" width="5.140625" style="159" customWidth="1"/>
    <col min="7948" max="8195" width="9.140625" style="159"/>
    <col min="8196" max="8196" width="32.5703125" style="159" bestFit="1" customWidth="1"/>
    <col min="8197" max="8199" width="9.140625" style="159"/>
    <col min="8200" max="8203" width="5.140625" style="159" customWidth="1"/>
    <col min="8204" max="8451" width="9.140625" style="159"/>
    <col min="8452" max="8452" width="32.5703125" style="159" bestFit="1" customWidth="1"/>
    <col min="8453" max="8455" width="9.140625" style="159"/>
    <col min="8456" max="8459" width="5.140625" style="159" customWidth="1"/>
    <col min="8460" max="8707" width="9.140625" style="159"/>
    <col min="8708" max="8708" width="32.5703125" style="159" bestFit="1" customWidth="1"/>
    <col min="8709" max="8711" width="9.140625" style="159"/>
    <col min="8712" max="8715" width="5.140625" style="159" customWidth="1"/>
    <col min="8716" max="8963" width="9.140625" style="159"/>
    <col min="8964" max="8964" width="32.5703125" style="159" bestFit="1" customWidth="1"/>
    <col min="8965" max="8967" width="9.140625" style="159"/>
    <col min="8968" max="8971" width="5.140625" style="159" customWidth="1"/>
    <col min="8972" max="9219" width="9.140625" style="159"/>
    <col min="9220" max="9220" width="32.5703125" style="159" bestFit="1" customWidth="1"/>
    <col min="9221" max="9223" width="9.140625" style="159"/>
    <col min="9224" max="9227" width="5.140625" style="159" customWidth="1"/>
    <col min="9228" max="9475" width="9.140625" style="159"/>
    <col min="9476" max="9476" width="32.5703125" style="159" bestFit="1" customWidth="1"/>
    <col min="9477" max="9479" width="9.140625" style="159"/>
    <col min="9480" max="9483" width="5.140625" style="159" customWidth="1"/>
    <col min="9484" max="9731" width="9.140625" style="159"/>
    <col min="9732" max="9732" width="32.5703125" style="159" bestFit="1" customWidth="1"/>
    <col min="9733" max="9735" width="9.140625" style="159"/>
    <col min="9736" max="9739" width="5.140625" style="159" customWidth="1"/>
    <col min="9740" max="9987" width="9.140625" style="159"/>
    <col min="9988" max="9988" width="32.5703125" style="159" bestFit="1" customWidth="1"/>
    <col min="9989" max="9991" width="9.140625" style="159"/>
    <col min="9992" max="9995" width="5.140625" style="159" customWidth="1"/>
    <col min="9996" max="10243" width="9.140625" style="159"/>
    <col min="10244" max="10244" width="32.5703125" style="159" bestFit="1" customWidth="1"/>
    <col min="10245" max="10247" width="9.140625" style="159"/>
    <col min="10248" max="10251" width="5.140625" style="159" customWidth="1"/>
    <col min="10252" max="10499" width="9.140625" style="159"/>
    <col min="10500" max="10500" width="32.5703125" style="159" bestFit="1" customWidth="1"/>
    <col min="10501" max="10503" width="9.140625" style="159"/>
    <col min="10504" max="10507" width="5.140625" style="159" customWidth="1"/>
    <col min="10508" max="10755" width="9.140625" style="159"/>
    <col min="10756" max="10756" width="32.5703125" style="159" bestFit="1" customWidth="1"/>
    <col min="10757" max="10759" width="9.140625" style="159"/>
    <col min="10760" max="10763" width="5.140625" style="159" customWidth="1"/>
    <col min="10764" max="11011" width="9.140625" style="159"/>
    <col min="11012" max="11012" width="32.5703125" style="159" bestFit="1" customWidth="1"/>
    <col min="11013" max="11015" width="9.140625" style="159"/>
    <col min="11016" max="11019" width="5.140625" style="159" customWidth="1"/>
    <col min="11020" max="11267" width="9.140625" style="159"/>
    <col min="11268" max="11268" width="32.5703125" style="159" bestFit="1" customWidth="1"/>
    <col min="11269" max="11271" width="9.140625" style="159"/>
    <col min="11272" max="11275" width="5.140625" style="159" customWidth="1"/>
    <col min="11276" max="11523" width="9.140625" style="159"/>
    <col min="11524" max="11524" width="32.5703125" style="159" bestFit="1" customWidth="1"/>
    <col min="11525" max="11527" width="9.140625" style="159"/>
    <col min="11528" max="11531" width="5.140625" style="159" customWidth="1"/>
    <col min="11532" max="11779" width="9.140625" style="159"/>
    <col min="11780" max="11780" width="32.5703125" style="159" bestFit="1" customWidth="1"/>
    <col min="11781" max="11783" width="9.140625" style="159"/>
    <col min="11784" max="11787" width="5.140625" style="159" customWidth="1"/>
    <col min="11788" max="12035" width="9.140625" style="159"/>
    <col min="12036" max="12036" width="32.5703125" style="159" bestFit="1" customWidth="1"/>
    <col min="12037" max="12039" width="9.140625" style="159"/>
    <col min="12040" max="12043" width="5.140625" style="159" customWidth="1"/>
    <col min="12044" max="12291" width="9.140625" style="159"/>
    <col min="12292" max="12292" width="32.5703125" style="159" bestFit="1" customWidth="1"/>
    <col min="12293" max="12295" width="9.140625" style="159"/>
    <col min="12296" max="12299" width="5.140625" style="159" customWidth="1"/>
    <col min="12300" max="12547" width="9.140625" style="159"/>
    <col min="12548" max="12548" width="32.5703125" style="159" bestFit="1" customWidth="1"/>
    <col min="12549" max="12551" width="9.140625" style="159"/>
    <col min="12552" max="12555" width="5.140625" style="159" customWidth="1"/>
    <col min="12556" max="12803" width="9.140625" style="159"/>
    <col min="12804" max="12804" width="32.5703125" style="159" bestFit="1" customWidth="1"/>
    <col min="12805" max="12807" width="9.140625" style="159"/>
    <col min="12808" max="12811" width="5.140625" style="159" customWidth="1"/>
    <col min="12812" max="13059" width="9.140625" style="159"/>
    <col min="13060" max="13060" width="32.5703125" style="159" bestFit="1" customWidth="1"/>
    <col min="13061" max="13063" width="9.140625" style="159"/>
    <col min="13064" max="13067" width="5.140625" style="159" customWidth="1"/>
    <col min="13068" max="13315" width="9.140625" style="159"/>
    <col min="13316" max="13316" width="32.5703125" style="159" bestFit="1" customWidth="1"/>
    <col min="13317" max="13319" width="9.140625" style="159"/>
    <col min="13320" max="13323" width="5.140625" style="159" customWidth="1"/>
    <col min="13324" max="13571" width="9.140625" style="159"/>
    <col min="13572" max="13572" width="32.5703125" style="159" bestFit="1" customWidth="1"/>
    <col min="13573" max="13575" width="9.140625" style="159"/>
    <col min="13576" max="13579" width="5.140625" style="159" customWidth="1"/>
    <col min="13580" max="13827" width="9.140625" style="159"/>
    <col min="13828" max="13828" width="32.5703125" style="159" bestFit="1" customWidth="1"/>
    <col min="13829" max="13831" width="9.140625" style="159"/>
    <col min="13832" max="13835" width="5.140625" style="159" customWidth="1"/>
    <col min="13836" max="14083" width="9.140625" style="159"/>
    <col min="14084" max="14084" width="32.5703125" style="159" bestFit="1" customWidth="1"/>
    <col min="14085" max="14087" width="9.140625" style="159"/>
    <col min="14088" max="14091" width="5.140625" style="159" customWidth="1"/>
    <col min="14092" max="14339" width="9.140625" style="159"/>
    <col min="14340" max="14340" width="32.5703125" style="159" bestFit="1" customWidth="1"/>
    <col min="14341" max="14343" width="9.140625" style="159"/>
    <col min="14344" max="14347" width="5.140625" style="159" customWidth="1"/>
    <col min="14348" max="14595" width="9.140625" style="159"/>
    <col min="14596" max="14596" width="32.5703125" style="159" bestFit="1" customWidth="1"/>
    <col min="14597" max="14599" width="9.140625" style="159"/>
    <col min="14600" max="14603" width="5.140625" style="159" customWidth="1"/>
    <col min="14604" max="14851" width="9.140625" style="159"/>
    <col min="14852" max="14852" width="32.5703125" style="159" bestFit="1" customWidth="1"/>
    <col min="14853" max="14855" width="9.140625" style="159"/>
    <col min="14856" max="14859" width="5.140625" style="159" customWidth="1"/>
    <col min="14860" max="15107" width="9.140625" style="159"/>
    <col min="15108" max="15108" width="32.5703125" style="159" bestFit="1" customWidth="1"/>
    <col min="15109" max="15111" width="9.140625" style="159"/>
    <col min="15112" max="15115" width="5.140625" style="159" customWidth="1"/>
    <col min="15116" max="15363" width="9.140625" style="159"/>
    <col min="15364" max="15364" width="32.5703125" style="159" bestFit="1" customWidth="1"/>
    <col min="15365" max="15367" width="9.140625" style="159"/>
    <col min="15368" max="15371" width="5.140625" style="159" customWidth="1"/>
    <col min="15372" max="15619" width="9.140625" style="159"/>
    <col min="15620" max="15620" width="32.5703125" style="159" bestFit="1" customWidth="1"/>
    <col min="15621" max="15623" width="9.140625" style="159"/>
    <col min="15624" max="15627" width="5.140625" style="159" customWidth="1"/>
    <col min="15628" max="15875" width="9.140625" style="159"/>
    <col min="15876" max="15876" width="32.5703125" style="159" bestFit="1" customWidth="1"/>
    <col min="15877" max="15879" width="9.140625" style="159"/>
    <col min="15880" max="15883" width="5.140625" style="159" customWidth="1"/>
    <col min="15884" max="16131" width="9.140625" style="159"/>
    <col min="16132" max="16132" width="32.5703125" style="159" bestFit="1" customWidth="1"/>
    <col min="16133" max="16135" width="9.140625" style="159"/>
    <col min="16136" max="16139" width="5.140625" style="159" customWidth="1"/>
    <col min="16140" max="16384" width="9.140625" style="159"/>
  </cols>
  <sheetData>
    <row r="1" spans="1:14" s="128" customFormat="1" ht="24" customHeight="1">
      <c r="A1" s="295" t="s">
        <v>9</v>
      </c>
      <c r="B1" s="295"/>
      <c r="C1" s="295"/>
      <c r="D1" s="296" t="s">
        <v>62</v>
      </c>
      <c r="E1" s="296"/>
      <c r="F1" s="296"/>
      <c r="G1" s="296"/>
      <c r="H1" s="296"/>
      <c r="I1" s="296"/>
      <c r="J1" s="296"/>
      <c r="K1" s="296"/>
      <c r="L1" s="127"/>
      <c r="M1" s="127"/>
      <c r="N1" s="127"/>
    </row>
    <row r="2" spans="1:14" s="128" customFormat="1" ht="22.5" customHeight="1">
      <c r="A2" s="295" t="s">
        <v>63</v>
      </c>
      <c r="B2" s="295"/>
      <c r="C2" s="295"/>
      <c r="D2" s="296" t="s">
        <v>64</v>
      </c>
      <c r="E2" s="296"/>
      <c r="F2" s="296"/>
      <c r="G2" s="296"/>
      <c r="H2" s="296"/>
      <c r="I2" s="296"/>
      <c r="J2" s="296"/>
      <c r="K2" s="296"/>
      <c r="L2" s="127"/>
      <c r="M2" s="127"/>
      <c r="N2" s="127"/>
    </row>
    <row r="3" spans="1:14" s="128" customFormat="1" ht="21.75" customHeight="1">
      <c r="A3" s="129"/>
      <c r="B3" s="130"/>
      <c r="C3" s="131"/>
      <c r="D3" s="297" t="s">
        <v>65</v>
      </c>
      <c r="E3" s="297"/>
      <c r="F3" s="297"/>
      <c r="G3" s="297"/>
      <c r="H3" s="297"/>
      <c r="I3" s="297"/>
      <c r="J3" s="297"/>
      <c r="K3" s="297"/>
      <c r="L3" s="127"/>
      <c r="M3" s="127"/>
      <c r="N3" s="127"/>
    </row>
    <row r="4" spans="1:14" s="132" customFormat="1" ht="39" customHeight="1">
      <c r="A4" s="298" t="s">
        <v>66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M4" s="132" t="s">
        <v>67</v>
      </c>
    </row>
    <row r="5" spans="1:14" s="132" customFormat="1" ht="24.75" customHeight="1">
      <c r="A5" s="294" t="s">
        <v>68</v>
      </c>
      <c r="B5" s="294" t="s">
        <v>69</v>
      </c>
      <c r="C5" s="294"/>
      <c r="D5" s="299" t="s">
        <v>70</v>
      </c>
      <c r="E5" s="299" t="s">
        <v>71</v>
      </c>
      <c r="F5" s="294" t="s">
        <v>72</v>
      </c>
      <c r="G5" s="294"/>
      <c r="H5" s="294" t="s">
        <v>73</v>
      </c>
      <c r="I5" s="294"/>
      <c r="J5" s="294"/>
      <c r="K5" s="294"/>
    </row>
    <row r="6" spans="1:14" s="132" customFormat="1" ht="31.5">
      <c r="A6" s="294"/>
      <c r="B6" s="133" t="s">
        <v>74</v>
      </c>
      <c r="C6" s="133" t="s">
        <v>75</v>
      </c>
      <c r="D6" s="299"/>
      <c r="E6" s="299"/>
      <c r="F6" s="134" t="s">
        <v>76</v>
      </c>
      <c r="G6" s="134" t="s">
        <v>77</v>
      </c>
      <c r="H6" s="135">
        <v>1</v>
      </c>
      <c r="I6" s="135">
        <v>2</v>
      </c>
      <c r="J6" s="135">
        <v>3</v>
      </c>
      <c r="K6" s="135">
        <v>4</v>
      </c>
    </row>
    <row r="7" spans="1:14" s="132" customFormat="1" ht="21" customHeight="1">
      <c r="A7" s="135" t="s">
        <v>78</v>
      </c>
      <c r="B7" s="288" t="s">
        <v>79</v>
      </c>
      <c r="C7" s="289"/>
      <c r="D7" s="290"/>
      <c r="E7" s="134">
        <f>SUM(E8:E12)</f>
        <v>14</v>
      </c>
      <c r="F7" s="136"/>
      <c r="G7" s="136"/>
      <c r="H7" s="136"/>
      <c r="I7" s="136"/>
      <c r="J7" s="136"/>
      <c r="K7" s="136"/>
    </row>
    <row r="8" spans="1:14" s="132" customFormat="1" ht="18" customHeight="1">
      <c r="A8" s="137">
        <v>1</v>
      </c>
      <c r="B8" s="138" t="s">
        <v>80</v>
      </c>
      <c r="C8" s="139">
        <v>500</v>
      </c>
      <c r="D8" s="140" t="s">
        <v>55</v>
      </c>
      <c r="E8" s="137">
        <v>3</v>
      </c>
      <c r="F8" s="137">
        <v>2</v>
      </c>
      <c r="G8" s="137">
        <v>1</v>
      </c>
      <c r="H8" s="141">
        <v>3</v>
      </c>
      <c r="I8" s="135"/>
      <c r="J8" s="135"/>
      <c r="K8" s="135"/>
    </row>
    <row r="9" spans="1:14" s="132" customFormat="1" ht="15.75">
      <c r="A9" s="137">
        <v>2</v>
      </c>
      <c r="B9" s="142" t="s">
        <v>81</v>
      </c>
      <c r="C9" s="143">
        <v>601</v>
      </c>
      <c r="D9" s="140" t="s">
        <v>56</v>
      </c>
      <c r="E9" s="141">
        <v>3</v>
      </c>
      <c r="F9" s="141">
        <f>E9</f>
        <v>3</v>
      </c>
      <c r="G9" s="141"/>
      <c r="H9" s="141">
        <f>E9</f>
        <v>3</v>
      </c>
      <c r="I9" s="141"/>
      <c r="J9" s="141"/>
      <c r="K9" s="141"/>
    </row>
    <row r="10" spans="1:14" s="132" customFormat="1" ht="15.75">
      <c r="A10" s="137">
        <v>3</v>
      </c>
      <c r="B10" s="142" t="s">
        <v>81</v>
      </c>
      <c r="C10" s="143">
        <v>602</v>
      </c>
      <c r="D10" s="140" t="s">
        <v>82</v>
      </c>
      <c r="E10" s="141">
        <v>3</v>
      </c>
      <c r="F10" s="141">
        <f>E10</f>
        <v>3</v>
      </c>
      <c r="G10" s="141"/>
      <c r="H10" s="141"/>
      <c r="I10" s="141">
        <f>E10</f>
        <v>3</v>
      </c>
      <c r="J10" s="141"/>
      <c r="K10" s="141"/>
    </row>
    <row r="11" spans="1:14" s="132" customFormat="1" ht="15.75">
      <c r="A11" s="137">
        <v>4</v>
      </c>
      <c r="B11" s="142" t="s">
        <v>81</v>
      </c>
      <c r="C11" s="143">
        <v>701</v>
      </c>
      <c r="D11" s="140" t="s">
        <v>60</v>
      </c>
      <c r="E11" s="141">
        <v>3</v>
      </c>
      <c r="F11" s="141">
        <v>3</v>
      </c>
      <c r="G11" s="141"/>
      <c r="H11" s="141"/>
      <c r="I11" s="141"/>
      <c r="J11" s="141">
        <v>3</v>
      </c>
      <c r="K11" s="141"/>
    </row>
    <row r="12" spans="1:14" s="132" customFormat="1" ht="18" customHeight="1">
      <c r="A12" s="137">
        <v>5</v>
      </c>
      <c r="B12" s="142" t="s">
        <v>80</v>
      </c>
      <c r="C12" s="143">
        <v>600</v>
      </c>
      <c r="D12" s="144" t="s">
        <v>83</v>
      </c>
      <c r="E12" s="141">
        <v>2</v>
      </c>
      <c r="F12" s="141">
        <v>1</v>
      </c>
      <c r="G12" s="141">
        <v>1</v>
      </c>
      <c r="H12" s="141">
        <f>E12</f>
        <v>2</v>
      </c>
      <c r="I12" s="141"/>
      <c r="J12" s="141"/>
      <c r="K12" s="141"/>
    </row>
    <row r="13" spans="1:14" s="132" customFormat="1" ht="20.25" customHeight="1">
      <c r="A13" s="135" t="s">
        <v>84</v>
      </c>
      <c r="B13" s="145" t="s">
        <v>85</v>
      </c>
      <c r="C13" s="145"/>
      <c r="D13" s="145"/>
      <c r="E13" s="135">
        <f>E14+E20</f>
        <v>19</v>
      </c>
      <c r="F13" s="135"/>
      <c r="G13" s="135"/>
      <c r="H13" s="135"/>
      <c r="I13" s="135"/>
      <c r="J13" s="135"/>
      <c r="K13" s="135"/>
    </row>
    <row r="14" spans="1:14" s="132" customFormat="1" ht="21" customHeight="1">
      <c r="A14" s="146" t="s">
        <v>86</v>
      </c>
      <c r="B14" s="284" t="s">
        <v>87</v>
      </c>
      <c r="C14" s="285"/>
      <c r="D14" s="286"/>
      <c r="E14" s="146">
        <f>SUM(E15:E19)</f>
        <v>13</v>
      </c>
      <c r="F14" s="146"/>
      <c r="G14" s="146"/>
      <c r="H14" s="146"/>
      <c r="I14" s="146"/>
      <c r="J14" s="146"/>
      <c r="K14" s="146"/>
    </row>
    <row r="15" spans="1:14" s="132" customFormat="1" ht="18" customHeight="1">
      <c r="A15" s="137">
        <v>1</v>
      </c>
      <c r="B15" s="147" t="s">
        <v>88</v>
      </c>
      <c r="C15" s="148">
        <v>554</v>
      </c>
      <c r="D15" s="149" t="s">
        <v>89</v>
      </c>
      <c r="E15" s="150">
        <v>2</v>
      </c>
      <c r="F15" s="150">
        <v>2</v>
      </c>
      <c r="G15" s="150"/>
      <c r="H15" s="141">
        <v>2</v>
      </c>
      <c r="I15" s="141"/>
      <c r="J15" s="141"/>
      <c r="K15" s="141"/>
    </row>
    <row r="16" spans="1:14" s="132" customFormat="1" ht="18" customHeight="1">
      <c r="A16" s="137">
        <v>2</v>
      </c>
      <c r="B16" s="147" t="s">
        <v>90</v>
      </c>
      <c r="C16" s="148">
        <v>701</v>
      </c>
      <c r="D16" s="149" t="s">
        <v>91</v>
      </c>
      <c r="E16" s="150">
        <v>3</v>
      </c>
      <c r="F16" s="150">
        <v>2</v>
      </c>
      <c r="G16" s="150">
        <v>1</v>
      </c>
      <c r="H16" s="141">
        <v>3</v>
      </c>
      <c r="I16" s="141"/>
      <c r="J16" s="141"/>
      <c r="K16" s="141"/>
    </row>
    <row r="17" spans="1:11" s="132" customFormat="1" ht="18" customHeight="1">
      <c r="A17" s="137">
        <v>3</v>
      </c>
      <c r="B17" s="147" t="s">
        <v>92</v>
      </c>
      <c r="C17" s="148">
        <v>616</v>
      </c>
      <c r="D17" s="149" t="s">
        <v>93</v>
      </c>
      <c r="E17" s="150">
        <v>2</v>
      </c>
      <c r="F17" s="150">
        <v>2</v>
      </c>
      <c r="G17" s="150"/>
      <c r="H17" s="141"/>
      <c r="I17" s="141">
        <v>2</v>
      </c>
      <c r="J17" s="141"/>
      <c r="K17" s="141"/>
    </row>
    <row r="18" spans="1:11" s="132" customFormat="1" ht="18" customHeight="1">
      <c r="A18" s="137">
        <v>4</v>
      </c>
      <c r="B18" s="147" t="s">
        <v>92</v>
      </c>
      <c r="C18" s="148">
        <v>702</v>
      </c>
      <c r="D18" s="149" t="s">
        <v>94</v>
      </c>
      <c r="E18" s="150">
        <v>3</v>
      </c>
      <c r="F18" s="150">
        <v>2</v>
      </c>
      <c r="G18" s="150">
        <v>1</v>
      </c>
      <c r="H18" s="141"/>
      <c r="I18" s="141">
        <v>3</v>
      </c>
      <c r="J18" s="141"/>
      <c r="K18" s="141"/>
    </row>
    <row r="19" spans="1:11" s="132" customFormat="1" ht="18" customHeight="1">
      <c r="A19" s="137">
        <v>5</v>
      </c>
      <c r="B19" s="142" t="s">
        <v>92</v>
      </c>
      <c r="C19" s="143">
        <v>511</v>
      </c>
      <c r="D19" s="151" t="s">
        <v>95</v>
      </c>
      <c r="E19" s="150">
        <v>3</v>
      </c>
      <c r="F19" s="150">
        <v>2</v>
      </c>
      <c r="G19" s="150">
        <v>1</v>
      </c>
      <c r="H19" s="141">
        <v>3</v>
      </c>
      <c r="I19" s="141"/>
      <c r="J19" s="141"/>
      <c r="K19" s="141"/>
    </row>
    <row r="20" spans="1:11" s="132" customFormat="1" ht="21" customHeight="1">
      <c r="A20" s="146" t="s">
        <v>96</v>
      </c>
      <c r="B20" s="284" t="s">
        <v>97</v>
      </c>
      <c r="C20" s="285"/>
      <c r="D20" s="286"/>
      <c r="E20" s="146">
        <f>SUM(E21:E23)</f>
        <v>6</v>
      </c>
      <c r="F20" s="141"/>
      <c r="G20" s="146"/>
      <c r="H20" s="146"/>
      <c r="I20" s="146"/>
      <c r="J20" s="146"/>
      <c r="K20" s="146"/>
    </row>
    <row r="21" spans="1:11" s="132" customFormat="1" ht="18" customHeight="1">
      <c r="A21" s="141">
        <v>1</v>
      </c>
      <c r="B21" s="151"/>
      <c r="C21" s="143"/>
      <c r="D21" s="151" t="s">
        <v>98</v>
      </c>
      <c r="E21" s="141">
        <v>2</v>
      </c>
      <c r="F21" s="141">
        <v>2</v>
      </c>
      <c r="G21" s="141"/>
      <c r="H21" s="141">
        <v>2</v>
      </c>
      <c r="I21" s="141"/>
      <c r="J21" s="141"/>
      <c r="K21" s="141"/>
    </row>
    <row r="22" spans="1:11" s="132" customFormat="1" ht="18" customHeight="1">
      <c r="A22" s="141">
        <v>2</v>
      </c>
      <c r="B22" s="151"/>
      <c r="C22" s="143"/>
      <c r="D22" s="151" t="s">
        <v>99</v>
      </c>
      <c r="E22" s="141">
        <v>2</v>
      </c>
      <c r="F22" s="141">
        <v>2</v>
      </c>
      <c r="G22" s="141"/>
      <c r="H22" s="141"/>
      <c r="I22" s="141">
        <v>2</v>
      </c>
      <c r="J22" s="141"/>
      <c r="K22" s="141"/>
    </row>
    <row r="23" spans="1:11" s="132" customFormat="1" ht="18" customHeight="1">
      <c r="A23" s="141">
        <v>3</v>
      </c>
      <c r="B23" s="151"/>
      <c r="C23" s="143"/>
      <c r="D23" s="151" t="s">
        <v>100</v>
      </c>
      <c r="E23" s="141">
        <v>2</v>
      </c>
      <c r="F23" s="141">
        <v>2</v>
      </c>
      <c r="G23" s="141"/>
      <c r="H23" s="141"/>
      <c r="I23" s="141">
        <v>2</v>
      </c>
      <c r="J23" s="141"/>
      <c r="K23" s="141"/>
    </row>
    <row r="24" spans="1:11" s="132" customFormat="1" ht="22.5" customHeight="1">
      <c r="A24" s="135" t="s">
        <v>101</v>
      </c>
      <c r="B24" s="145" t="s">
        <v>102</v>
      </c>
      <c r="C24" s="145"/>
      <c r="D24" s="145"/>
      <c r="E24" s="135">
        <f>E25+E30</f>
        <v>18</v>
      </c>
      <c r="F24" s="135"/>
      <c r="G24" s="135"/>
      <c r="H24" s="135"/>
      <c r="I24" s="135"/>
      <c r="J24" s="135"/>
      <c r="K24" s="135"/>
    </row>
    <row r="25" spans="1:11" s="132" customFormat="1" ht="20.25" customHeight="1">
      <c r="A25" s="146" t="s">
        <v>86</v>
      </c>
      <c r="B25" s="284" t="s">
        <v>87</v>
      </c>
      <c r="C25" s="285"/>
      <c r="D25" s="286"/>
      <c r="E25" s="146">
        <f>SUM(E26:E29)</f>
        <v>10</v>
      </c>
      <c r="F25" s="146"/>
      <c r="G25" s="146"/>
      <c r="H25" s="146"/>
      <c r="I25" s="146"/>
      <c r="J25" s="146"/>
      <c r="K25" s="146"/>
    </row>
    <row r="26" spans="1:11" s="132" customFormat="1" ht="18" customHeight="1">
      <c r="A26" s="152">
        <v>1</v>
      </c>
      <c r="B26" s="147" t="s">
        <v>90</v>
      </c>
      <c r="C26" s="148">
        <v>609</v>
      </c>
      <c r="D26" s="153" t="s">
        <v>103</v>
      </c>
      <c r="E26" s="150">
        <v>3</v>
      </c>
      <c r="F26" s="150">
        <v>2</v>
      </c>
      <c r="G26" s="150">
        <v>1</v>
      </c>
      <c r="H26" s="154"/>
      <c r="I26" s="141">
        <v>3</v>
      </c>
      <c r="J26" s="141"/>
      <c r="K26" s="141"/>
    </row>
    <row r="27" spans="1:11" s="132" customFormat="1" ht="18" customHeight="1">
      <c r="A27" s="152">
        <v>2</v>
      </c>
      <c r="B27" s="147" t="s">
        <v>92</v>
      </c>
      <c r="C27" s="148">
        <v>676</v>
      </c>
      <c r="D27" s="153" t="s">
        <v>104</v>
      </c>
      <c r="E27" s="150">
        <v>2</v>
      </c>
      <c r="F27" s="150">
        <v>2</v>
      </c>
      <c r="G27" s="150"/>
      <c r="H27" s="154"/>
      <c r="I27" s="141"/>
      <c r="J27" s="141">
        <v>2</v>
      </c>
      <c r="K27" s="141"/>
    </row>
    <row r="28" spans="1:11" s="132" customFormat="1" ht="18" customHeight="1">
      <c r="A28" s="152">
        <v>3</v>
      </c>
      <c r="B28" s="147" t="s">
        <v>92</v>
      </c>
      <c r="C28" s="148">
        <v>609</v>
      </c>
      <c r="D28" s="153" t="s">
        <v>105</v>
      </c>
      <c r="E28" s="150">
        <v>2</v>
      </c>
      <c r="F28" s="150">
        <v>2</v>
      </c>
      <c r="G28" s="150"/>
      <c r="H28" s="154"/>
      <c r="I28" s="141">
        <v>2</v>
      </c>
      <c r="J28" s="141"/>
      <c r="K28" s="141"/>
    </row>
    <row r="29" spans="1:11" s="132" customFormat="1" ht="18" customHeight="1">
      <c r="A29" s="152">
        <v>4</v>
      </c>
      <c r="B29" s="147" t="s">
        <v>92</v>
      </c>
      <c r="C29" s="148">
        <v>720</v>
      </c>
      <c r="D29" s="153" t="s">
        <v>106</v>
      </c>
      <c r="E29" s="150">
        <v>3</v>
      </c>
      <c r="F29" s="150">
        <v>2</v>
      </c>
      <c r="G29" s="150">
        <v>1</v>
      </c>
      <c r="H29" s="154">
        <v>3</v>
      </c>
      <c r="I29" s="141"/>
      <c r="J29" s="141"/>
      <c r="K29" s="141"/>
    </row>
    <row r="30" spans="1:11" s="132" customFormat="1" ht="21" customHeight="1">
      <c r="A30" s="146" t="s">
        <v>96</v>
      </c>
      <c r="B30" s="284" t="s">
        <v>97</v>
      </c>
      <c r="C30" s="285"/>
      <c r="D30" s="286"/>
      <c r="E30" s="146">
        <f>SUM(E31:E34)</f>
        <v>8</v>
      </c>
      <c r="F30" s="146"/>
      <c r="G30" s="146"/>
      <c r="H30" s="146"/>
      <c r="I30" s="146"/>
      <c r="J30" s="146"/>
      <c r="K30" s="146"/>
    </row>
    <row r="31" spans="1:11" s="132" customFormat="1" ht="18" customHeight="1">
      <c r="A31" s="141">
        <v>1</v>
      </c>
      <c r="B31" s="151"/>
      <c r="C31" s="143"/>
      <c r="D31" s="151" t="s">
        <v>98</v>
      </c>
      <c r="E31" s="141">
        <v>2</v>
      </c>
      <c r="F31" s="141">
        <v>2</v>
      </c>
      <c r="G31" s="141"/>
      <c r="H31" s="141"/>
      <c r="I31" s="141">
        <v>2</v>
      </c>
      <c r="J31" s="141"/>
      <c r="K31" s="141"/>
    </row>
    <row r="32" spans="1:11" s="132" customFormat="1" ht="18" customHeight="1">
      <c r="A32" s="141">
        <v>2</v>
      </c>
      <c r="B32" s="151"/>
      <c r="C32" s="143"/>
      <c r="D32" s="151" t="s">
        <v>99</v>
      </c>
      <c r="E32" s="141">
        <v>2</v>
      </c>
      <c r="F32" s="141">
        <v>2</v>
      </c>
      <c r="G32" s="141"/>
      <c r="H32" s="141"/>
      <c r="I32" s="141">
        <v>2</v>
      </c>
      <c r="J32" s="141"/>
      <c r="K32" s="141"/>
    </row>
    <row r="33" spans="1:11" s="132" customFormat="1" ht="18" customHeight="1">
      <c r="A33" s="141">
        <v>3</v>
      </c>
      <c r="B33" s="151"/>
      <c r="C33" s="143"/>
      <c r="D33" s="151" t="s">
        <v>100</v>
      </c>
      <c r="E33" s="141">
        <v>2</v>
      </c>
      <c r="F33" s="141">
        <v>2</v>
      </c>
      <c r="G33" s="141"/>
      <c r="H33" s="141"/>
      <c r="I33" s="141"/>
      <c r="J33" s="141">
        <v>2</v>
      </c>
      <c r="K33" s="141"/>
    </row>
    <row r="34" spans="1:11" s="132" customFormat="1" ht="18" customHeight="1">
      <c r="A34" s="141">
        <v>4</v>
      </c>
      <c r="B34" s="151"/>
      <c r="C34" s="143"/>
      <c r="D34" s="151" t="s">
        <v>107</v>
      </c>
      <c r="E34" s="141">
        <v>2</v>
      </c>
      <c r="F34" s="141">
        <v>2</v>
      </c>
      <c r="G34" s="141"/>
      <c r="H34" s="141"/>
      <c r="I34" s="141"/>
      <c r="J34" s="141">
        <v>2</v>
      </c>
      <c r="K34" s="141"/>
    </row>
    <row r="35" spans="1:11" s="132" customFormat="1" ht="20.25" customHeight="1">
      <c r="A35" s="135" t="s">
        <v>108</v>
      </c>
      <c r="B35" s="145" t="s">
        <v>8</v>
      </c>
      <c r="C35" s="145"/>
      <c r="D35" s="145"/>
      <c r="E35" s="135">
        <v>10</v>
      </c>
      <c r="F35" s="135"/>
      <c r="G35" s="135">
        <f>E35</f>
        <v>10</v>
      </c>
      <c r="H35" s="135"/>
      <c r="I35" s="135"/>
      <c r="J35" s="135"/>
      <c r="K35" s="135">
        <f>E35</f>
        <v>10</v>
      </c>
    </row>
    <row r="36" spans="1:11" s="132" customFormat="1" ht="20.25" customHeight="1">
      <c r="A36" s="291" t="s">
        <v>109</v>
      </c>
      <c r="B36" s="292"/>
      <c r="C36" s="292"/>
      <c r="D36" s="293"/>
      <c r="E36" s="135">
        <f>E35+E24+E13+E7</f>
        <v>61</v>
      </c>
      <c r="F36" s="135"/>
      <c r="G36" s="135"/>
      <c r="H36" s="135">
        <f>SUM(H7:H35)</f>
        <v>21</v>
      </c>
      <c r="I36" s="135">
        <f>SUM(I7:I35)</f>
        <v>21</v>
      </c>
      <c r="J36" s="135">
        <f>SUM(J7:J35)</f>
        <v>9</v>
      </c>
      <c r="K36" s="135">
        <f>SUM(K7:K35)</f>
        <v>10</v>
      </c>
    </row>
    <row r="37" spans="1:11" s="132" customFormat="1" ht="20.25" customHeight="1">
      <c r="A37" s="282" t="s">
        <v>110</v>
      </c>
      <c r="B37" s="283"/>
      <c r="C37" s="283"/>
      <c r="D37" s="283"/>
      <c r="E37" s="155"/>
      <c r="F37" s="155"/>
      <c r="G37" s="155"/>
      <c r="H37" s="155"/>
      <c r="I37" s="155"/>
      <c r="J37" s="155"/>
      <c r="K37" s="156"/>
    </row>
    <row r="38" spans="1:11" s="132" customFormat="1" ht="18" customHeight="1">
      <c r="A38" s="146" t="s">
        <v>86</v>
      </c>
      <c r="B38" s="284" t="s">
        <v>111</v>
      </c>
      <c r="C38" s="285"/>
      <c r="D38" s="286"/>
      <c r="E38" s="146"/>
      <c r="F38" s="141"/>
      <c r="G38" s="146"/>
      <c r="H38" s="146"/>
      <c r="I38" s="146"/>
      <c r="J38" s="146"/>
      <c r="K38" s="146"/>
    </row>
    <row r="39" spans="1:11" s="132" customFormat="1" ht="18" customHeight="1">
      <c r="A39" s="150">
        <v>1</v>
      </c>
      <c r="B39" s="147" t="s">
        <v>90</v>
      </c>
      <c r="C39" s="148">
        <v>702</v>
      </c>
      <c r="D39" s="153" t="s">
        <v>112</v>
      </c>
      <c r="E39" s="150">
        <v>2</v>
      </c>
      <c r="F39" s="150">
        <v>2</v>
      </c>
      <c r="G39" s="154"/>
      <c r="H39" s="141"/>
      <c r="I39" s="141"/>
      <c r="J39" s="141"/>
      <c r="K39" s="141"/>
    </row>
    <row r="40" spans="1:11" s="132" customFormat="1" ht="18" customHeight="1">
      <c r="A40" s="150">
        <v>2</v>
      </c>
      <c r="B40" s="147" t="s">
        <v>92</v>
      </c>
      <c r="C40" s="148">
        <v>607</v>
      </c>
      <c r="D40" s="153" t="s">
        <v>113</v>
      </c>
      <c r="E40" s="150">
        <v>2</v>
      </c>
      <c r="F40" s="150">
        <v>2</v>
      </c>
      <c r="G40" s="154"/>
      <c r="H40" s="141"/>
      <c r="I40" s="141"/>
      <c r="J40" s="141"/>
      <c r="K40" s="141"/>
    </row>
    <row r="41" spans="1:11" s="132" customFormat="1" ht="18" customHeight="1">
      <c r="A41" s="150">
        <v>3</v>
      </c>
      <c r="B41" s="147" t="s">
        <v>92</v>
      </c>
      <c r="C41" s="148">
        <v>608</v>
      </c>
      <c r="D41" s="153" t="s">
        <v>114</v>
      </c>
      <c r="E41" s="150">
        <v>2</v>
      </c>
      <c r="F41" s="150">
        <v>2</v>
      </c>
      <c r="G41" s="154"/>
      <c r="H41" s="141"/>
      <c r="I41" s="141"/>
      <c r="J41" s="141"/>
      <c r="K41" s="141"/>
    </row>
    <row r="42" spans="1:11" s="132" customFormat="1" ht="18" customHeight="1">
      <c r="A42" s="150">
        <v>4</v>
      </c>
      <c r="B42" s="147" t="s">
        <v>92</v>
      </c>
      <c r="C42" s="148">
        <v>753</v>
      </c>
      <c r="D42" s="153" t="s">
        <v>115</v>
      </c>
      <c r="E42" s="150">
        <v>2</v>
      </c>
      <c r="F42" s="150">
        <v>2</v>
      </c>
      <c r="G42" s="154"/>
      <c r="H42" s="141"/>
      <c r="I42" s="141"/>
      <c r="J42" s="141"/>
      <c r="K42" s="141"/>
    </row>
    <row r="43" spans="1:11" s="132" customFormat="1" ht="18" customHeight="1">
      <c r="A43" s="150">
        <v>5</v>
      </c>
      <c r="B43" s="147" t="s">
        <v>92</v>
      </c>
      <c r="C43" s="148">
        <v>703</v>
      </c>
      <c r="D43" s="153" t="s">
        <v>116</v>
      </c>
      <c r="E43" s="150">
        <v>2</v>
      </c>
      <c r="F43" s="150">
        <v>2</v>
      </c>
      <c r="G43" s="154"/>
      <c r="H43" s="141"/>
      <c r="I43" s="141"/>
      <c r="J43" s="141"/>
      <c r="K43" s="141"/>
    </row>
    <row r="44" spans="1:11" s="132" customFormat="1" ht="18" customHeight="1">
      <c r="A44" s="150">
        <v>6</v>
      </c>
      <c r="B44" s="147" t="s">
        <v>117</v>
      </c>
      <c r="C44" s="148">
        <v>701</v>
      </c>
      <c r="D44" s="153" t="s">
        <v>118</v>
      </c>
      <c r="E44" s="150">
        <v>2</v>
      </c>
      <c r="F44" s="150">
        <v>2</v>
      </c>
      <c r="G44" s="154"/>
      <c r="H44" s="141"/>
      <c r="I44" s="141"/>
      <c r="J44" s="141"/>
      <c r="K44" s="141"/>
    </row>
    <row r="45" spans="1:11" s="132" customFormat="1" ht="18" customHeight="1">
      <c r="A45" s="150">
        <v>7</v>
      </c>
      <c r="B45" s="147" t="s">
        <v>92</v>
      </c>
      <c r="C45" s="148">
        <v>704</v>
      </c>
      <c r="D45" s="153" t="s">
        <v>119</v>
      </c>
      <c r="E45" s="150">
        <v>2</v>
      </c>
      <c r="F45" s="150">
        <v>2</v>
      </c>
      <c r="G45" s="154"/>
      <c r="H45" s="141"/>
      <c r="I45" s="141"/>
      <c r="J45" s="141"/>
      <c r="K45" s="141"/>
    </row>
    <row r="46" spans="1:11" s="132" customFormat="1" ht="18" customHeight="1">
      <c r="A46" s="157" t="s">
        <v>96</v>
      </c>
      <c r="B46" s="158" t="s">
        <v>120</v>
      </c>
      <c r="C46" s="158"/>
      <c r="D46" s="158"/>
      <c r="E46" s="157"/>
      <c r="F46" s="157"/>
      <c r="G46" s="146"/>
      <c r="H46" s="146"/>
      <c r="I46" s="146"/>
      <c r="J46" s="146"/>
      <c r="K46" s="146"/>
    </row>
    <row r="47" spans="1:11" s="132" customFormat="1" ht="18" customHeight="1">
      <c r="A47" s="150">
        <v>1</v>
      </c>
      <c r="B47" s="147" t="s">
        <v>92</v>
      </c>
      <c r="C47" s="148">
        <v>711</v>
      </c>
      <c r="D47" s="153" t="s">
        <v>121</v>
      </c>
      <c r="E47" s="150">
        <v>2</v>
      </c>
      <c r="F47" s="150">
        <v>2</v>
      </c>
      <c r="G47" s="141"/>
      <c r="H47" s="141"/>
      <c r="I47" s="141"/>
      <c r="J47" s="141"/>
      <c r="K47" s="141"/>
    </row>
    <row r="48" spans="1:11" s="132" customFormat="1" ht="18" customHeight="1">
      <c r="A48" s="150">
        <v>2</v>
      </c>
      <c r="B48" s="147" t="s">
        <v>117</v>
      </c>
      <c r="C48" s="148">
        <v>703</v>
      </c>
      <c r="D48" s="153" t="s">
        <v>122</v>
      </c>
      <c r="E48" s="150">
        <v>2</v>
      </c>
      <c r="F48" s="150">
        <v>2</v>
      </c>
      <c r="G48" s="141"/>
      <c r="H48" s="141"/>
      <c r="I48" s="141"/>
      <c r="J48" s="141"/>
      <c r="K48" s="141"/>
    </row>
    <row r="49" spans="1:11" s="132" customFormat="1" ht="18" customHeight="1">
      <c r="A49" s="150">
        <v>3</v>
      </c>
      <c r="B49" s="147" t="s">
        <v>92</v>
      </c>
      <c r="C49" s="148">
        <v>705</v>
      </c>
      <c r="D49" s="153" t="s">
        <v>123</v>
      </c>
      <c r="E49" s="150">
        <v>2</v>
      </c>
      <c r="F49" s="150">
        <v>2</v>
      </c>
      <c r="G49" s="141"/>
      <c r="H49" s="141"/>
      <c r="I49" s="141"/>
      <c r="J49" s="141"/>
      <c r="K49" s="141"/>
    </row>
    <row r="50" spans="1:11" s="132" customFormat="1" ht="18" customHeight="1">
      <c r="A50" s="150">
        <v>4</v>
      </c>
      <c r="B50" s="147" t="s">
        <v>90</v>
      </c>
      <c r="C50" s="148">
        <v>722</v>
      </c>
      <c r="D50" s="153" t="s">
        <v>124</v>
      </c>
      <c r="E50" s="150">
        <v>2</v>
      </c>
      <c r="F50" s="150">
        <v>2</v>
      </c>
      <c r="G50" s="141"/>
      <c r="H50" s="141"/>
      <c r="I50" s="141"/>
      <c r="J50" s="141"/>
      <c r="K50" s="141"/>
    </row>
    <row r="51" spans="1:11" s="132" customFormat="1" ht="18" customHeight="1">
      <c r="A51" s="150">
        <v>5</v>
      </c>
      <c r="B51" s="147" t="s">
        <v>90</v>
      </c>
      <c r="C51" s="148">
        <v>632</v>
      </c>
      <c r="D51" s="153" t="s">
        <v>125</v>
      </c>
      <c r="E51" s="150">
        <v>2</v>
      </c>
      <c r="F51" s="150">
        <v>2</v>
      </c>
      <c r="G51" s="141"/>
      <c r="H51" s="141"/>
      <c r="I51" s="141"/>
      <c r="J51" s="141"/>
      <c r="K51" s="141"/>
    </row>
    <row r="52" spans="1:11" s="132" customFormat="1" ht="18" customHeight="1">
      <c r="A52" s="150">
        <v>6</v>
      </c>
      <c r="B52" s="147" t="s">
        <v>90</v>
      </c>
      <c r="C52" s="148">
        <v>681</v>
      </c>
      <c r="D52" s="153" t="s">
        <v>126</v>
      </c>
      <c r="E52" s="150">
        <v>2</v>
      </c>
      <c r="F52" s="150">
        <v>2</v>
      </c>
      <c r="G52" s="141"/>
      <c r="H52" s="141"/>
      <c r="I52" s="141"/>
      <c r="J52" s="141"/>
      <c r="K52" s="141"/>
    </row>
    <row r="53" spans="1:11" s="132" customFormat="1" ht="18" customHeight="1">
      <c r="A53" s="150">
        <v>7</v>
      </c>
      <c r="B53" s="147" t="s">
        <v>92</v>
      </c>
      <c r="C53" s="148">
        <v>709</v>
      </c>
      <c r="D53" s="153" t="s">
        <v>127</v>
      </c>
      <c r="E53" s="150">
        <v>2</v>
      </c>
      <c r="F53" s="150">
        <v>2</v>
      </c>
      <c r="G53" s="141"/>
      <c r="H53" s="141"/>
      <c r="I53" s="141"/>
      <c r="J53" s="141"/>
      <c r="K53" s="141"/>
    </row>
    <row r="54" spans="1:11" s="132" customFormat="1" ht="18" customHeight="1">
      <c r="A54" s="150">
        <v>8</v>
      </c>
      <c r="B54" s="147" t="s">
        <v>90</v>
      </c>
      <c r="C54" s="148">
        <v>729</v>
      </c>
      <c r="D54" s="153" t="s">
        <v>128</v>
      </c>
      <c r="E54" s="150">
        <v>2</v>
      </c>
      <c r="F54" s="150">
        <v>2</v>
      </c>
      <c r="G54" s="141"/>
      <c r="H54" s="141"/>
      <c r="I54" s="141"/>
      <c r="J54" s="141"/>
      <c r="K54" s="141"/>
    </row>
    <row r="55" spans="1:11" s="132" customFormat="1" ht="18" customHeight="1">
      <c r="A55" s="150">
        <v>9</v>
      </c>
      <c r="B55" s="147" t="s">
        <v>92</v>
      </c>
      <c r="C55" s="148">
        <v>662</v>
      </c>
      <c r="D55" s="153" t="s">
        <v>129</v>
      </c>
      <c r="E55" s="150">
        <v>2</v>
      </c>
      <c r="F55" s="150">
        <v>2</v>
      </c>
      <c r="G55" s="141"/>
      <c r="H55" s="141"/>
      <c r="I55" s="141"/>
      <c r="J55" s="141"/>
      <c r="K55" s="141"/>
    </row>
    <row r="56" spans="1:11" s="128" customFormat="1" ht="16.5">
      <c r="A56" s="287" t="s">
        <v>130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</row>
    <row r="57" spans="1:11" s="128" customFormat="1" ht="16.5">
      <c r="A57" s="287" t="s">
        <v>131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</row>
  </sheetData>
  <mergeCells count="22">
    <mergeCell ref="H5:K5"/>
    <mergeCell ref="A1:C1"/>
    <mergeCell ref="D1:K1"/>
    <mergeCell ref="A2:C2"/>
    <mergeCell ref="D2:K2"/>
    <mergeCell ref="D3:K3"/>
    <mergeCell ref="A4:K4"/>
    <mergeCell ref="A5:A6"/>
    <mergeCell ref="B5:C5"/>
    <mergeCell ref="D5:D6"/>
    <mergeCell ref="E5:E6"/>
    <mergeCell ref="F5:G5"/>
    <mergeCell ref="A37:D37"/>
    <mergeCell ref="B38:D38"/>
    <mergeCell ref="A56:K56"/>
    <mergeCell ref="A57:K57"/>
    <mergeCell ref="B7:D7"/>
    <mergeCell ref="B14:D14"/>
    <mergeCell ref="B20:D20"/>
    <mergeCell ref="B25:D25"/>
    <mergeCell ref="B30:D30"/>
    <mergeCell ref="A36:D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K18"/>
  <sheetViews>
    <sheetView tabSelected="1" workbookViewId="0">
      <pane xSplit="4" ySplit="5" topLeftCell="AG6" activePane="bottomRight" state="frozen"/>
      <selection pane="topRight" activeCell="E1" sqref="E1"/>
      <selection pane="bottomLeft" activeCell="A5" sqref="A5"/>
      <selection pane="bottomRight" activeCell="AL23" sqref="AL23"/>
    </sheetView>
  </sheetViews>
  <sheetFormatPr defaultRowHeight="21" customHeight="1"/>
  <cols>
    <col min="1" max="1" width="4.42578125" style="1" bestFit="1" customWidth="1"/>
    <col min="2" max="2" width="12.42578125" style="2" customWidth="1"/>
    <col min="3" max="3" width="20.7109375" style="5" customWidth="1"/>
    <col min="4" max="4" width="8.85546875" style="3" bestFit="1" customWidth="1"/>
    <col min="5" max="5" width="8.85546875" style="3" customWidth="1"/>
    <col min="6" max="6" width="11.85546875" style="4" customWidth="1"/>
    <col min="7" max="7" width="12.42578125" style="1" customWidth="1"/>
    <col min="8" max="8" width="3.5703125" style="8" customWidth="1"/>
    <col min="9" max="10" width="3.5703125" style="8" bestFit="1" customWidth="1"/>
    <col min="11" max="11" width="4.140625" style="8" customWidth="1"/>
    <col min="12" max="12" width="3.5703125" style="8" customWidth="1"/>
    <col min="13" max="14" width="3.5703125" style="8" bestFit="1" customWidth="1"/>
    <col min="15" max="15" width="4.140625" style="8" customWidth="1"/>
    <col min="16" max="16" width="3.5703125" style="8" customWidth="1"/>
    <col min="17" max="17" width="4.5703125" style="8" customWidth="1"/>
    <col min="18" max="18" width="3.5703125" style="8" bestFit="1" customWidth="1"/>
    <col min="19" max="19" width="4.140625" style="8" customWidth="1"/>
    <col min="20" max="20" width="3.5703125" style="8" customWidth="1"/>
    <col min="21" max="22" width="3.5703125" style="8" bestFit="1" customWidth="1"/>
    <col min="23" max="23" width="4.140625" style="8" customWidth="1"/>
    <col min="24" max="24" width="3.5703125" style="8" customWidth="1"/>
    <col min="25" max="26" width="3.5703125" style="8" bestFit="1" customWidth="1"/>
    <col min="27" max="27" width="4.140625" style="8" customWidth="1"/>
    <col min="28" max="28" width="3.5703125" style="8" customWidth="1"/>
    <col min="29" max="30" width="3.5703125" style="8" bestFit="1" customWidth="1"/>
    <col min="31" max="31" width="4.140625" style="8" customWidth="1"/>
    <col min="32" max="32" width="3.5703125" style="8" customWidth="1"/>
    <col min="33" max="34" width="3.5703125" style="8" bestFit="1" customWidth="1"/>
    <col min="35" max="35" width="4.140625" style="8" customWidth="1"/>
    <col min="36" max="36" width="3.5703125" style="8" customWidth="1"/>
    <col min="37" max="38" width="3.5703125" style="8" bestFit="1" customWidth="1"/>
    <col min="39" max="39" width="4.140625" style="8" customWidth="1"/>
    <col min="40" max="40" width="3.5703125" style="8" customWidth="1"/>
    <col min="41" max="42" width="3.5703125" style="8" bestFit="1" customWidth="1"/>
    <col min="43" max="43" width="4.140625" style="8" customWidth="1"/>
    <col min="44" max="44" width="3.5703125" style="8" customWidth="1"/>
    <col min="45" max="46" width="3.5703125" style="8" bestFit="1" customWidth="1"/>
    <col min="47" max="47" width="4.140625" style="8" customWidth="1"/>
    <col min="48" max="48" width="3.5703125" style="8" customWidth="1"/>
    <col min="49" max="50" width="3.5703125" style="8" bestFit="1" customWidth="1"/>
    <col min="51" max="51" width="4.140625" style="8" customWidth="1"/>
    <col min="52" max="52" width="3.5703125" style="8" customWidth="1"/>
    <col min="53" max="54" width="3.5703125" style="8" bestFit="1" customWidth="1"/>
    <col min="55" max="55" width="4.140625" style="8" customWidth="1"/>
    <col min="56" max="56" width="3.5703125" style="8" customWidth="1"/>
    <col min="57" max="58" width="3.5703125" style="8" bestFit="1" customWidth="1"/>
    <col min="59" max="59" width="4.140625" style="8" customWidth="1"/>
    <col min="60" max="60" width="3.5703125" style="8" customWidth="1"/>
    <col min="61" max="62" width="3.5703125" style="8" bestFit="1" customWidth="1"/>
    <col min="63" max="63" width="4.140625" style="8" customWidth="1"/>
    <col min="64" max="64" width="3.5703125" style="8" customWidth="1"/>
    <col min="65" max="66" width="3.5703125" style="8" bestFit="1" customWidth="1"/>
    <col min="67" max="67" width="4.140625" style="8" customWidth="1"/>
    <col min="68" max="68" width="3.5703125" style="8" customWidth="1"/>
    <col min="69" max="70" width="3.5703125" style="8" bestFit="1" customWidth="1"/>
    <col min="71" max="71" width="4.140625" style="8" customWidth="1"/>
    <col min="72" max="72" width="3.5703125" style="8" customWidth="1"/>
    <col min="73" max="74" width="3.5703125" style="8" bestFit="1" customWidth="1"/>
    <col min="75" max="75" width="4.140625" style="8" customWidth="1"/>
    <col min="76" max="76" width="3.5703125" style="8" customWidth="1"/>
    <col min="77" max="78" width="3.5703125" style="8" bestFit="1" customWidth="1"/>
    <col min="79" max="79" width="4.140625" style="8" customWidth="1"/>
    <col min="80" max="80" width="3.5703125" style="8" customWidth="1"/>
    <col min="81" max="81" width="4.28515625" style="8" customWidth="1"/>
    <col min="82" max="82" width="3.5703125" style="8" bestFit="1" customWidth="1"/>
    <col min="83" max="83" width="4.140625" style="8" customWidth="1"/>
    <col min="84" max="84" width="3.5703125" style="8" customWidth="1"/>
    <col min="85" max="86" width="3.5703125" style="8" bestFit="1" customWidth="1"/>
    <col min="87" max="87" width="4.140625" style="8" customWidth="1"/>
    <col min="88" max="88" width="6.42578125" style="8" bestFit="1" customWidth="1"/>
    <col min="89" max="89" width="7.28515625" style="206" customWidth="1"/>
    <col min="90" max="16384" width="9.140625" style="5"/>
  </cols>
  <sheetData>
    <row r="1" spans="1:89" s="25" customFormat="1" ht="11.25">
      <c r="A1" s="23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24">
        <v>18</v>
      </c>
      <c r="T1" s="24">
        <v>19</v>
      </c>
      <c r="U1" s="24">
        <v>20</v>
      </c>
      <c r="V1" s="24">
        <v>21</v>
      </c>
      <c r="W1" s="24">
        <v>22</v>
      </c>
      <c r="X1" s="24">
        <v>23</v>
      </c>
      <c r="Y1" s="24">
        <v>24</v>
      </c>
      <c r="Z1" s="24">
        <v>25</v>
      </c>
      <c r="AA1" s="24">
        <v>26</v>
      </c>
      <c r="AB1" s="24">
        <v>27</v>
      </c>
      <c r="AC1" s="24">
        <v>28</v>
      </c>
      <c r="AD1" s="24">
        <v>29</v>
      </c>
      <c r="AE1" s="24">
        <v>30</v>
      </c>
      <c r="AF1" s="24">
        <v>31</v>
      </c>
      <c r="AG1" s="24">
        <v>32</v>
      </c>
      <c r="AH1" s="24">
        <v>33</v>
      </c>
      <c r="AI1" s="24">
        <v>34</v>
      </c>
      <c r="AJ1" s="24">
        <v>35</v>
      </c>
      <c r="AK1" s="24">
        <v>36</v>
      </c>
      <c r="AL1" s="24">
        <v>37</v>
      </c>
      <c r="AM1" s="24">
        <v>38</v>
      </c>
      <c r="AN1" s="24">
        <v>39</v>
      </c>
      <c r="AO1" s="24">
        <v>40</v>
      </c>
      <c r="AP1" s="24">
        <v>41</v>
      </c>
      <c r="AQ1" s="24">
        <v>42</v>
      </c>
      <c r="AR1" s="24">
        <v>43</v>
      </c>
      <c r="AS1" s="24">
        <v>44</v>
      </c>
      <c r="AT1" s="24">
        <v>45</v>
      </c>
      <c r="AU1" s="24">
        <v>46</v>
      </c>
      <c r="AV1" s="24">
        <v>47</v>
      </c>
      <c r="AW1" s="24">
        <v>48</v>
      </c>
      <c r="AX1" s="24">
        <v>49</v>
      </c>
      <c r="AY1" s="24">
        <v>50</v>
      </c>
      <c r="AZ1" s="24">
        <v>51</v>
      </c>
      <c r="BA1" s="24">
        <v>52</v>
      </c>
      <c r="BB1" s="24">
        <v>53</v>
      </c>
      <c r="BC1" s="24">
        <v>54</v>
      </c>
      <c r="BD1" s="24">
        <v>55</v>
      </c>
      <c r="BE1" s="24">
        <v>56</v>
      </c>
      <c r="BF1" s="24">
        <v>57</v>
      </c>
      <c r="BG1" s="24">
        <v>58</v>
      </c>
      <c r="BH1" s="24">
        <v>59</v>
      </c>
      <c r="BI1" s="24">
        <v>60</v>
      </c>
      <c r="BJ1" s="24">
        <v>61</v>
      </c>
      <c r="BK1" s="24">
        <v>62</v>
      </c>
      <c r="BL1" s="24">
        <v>63</v>
      </c>
      <c r="BM1" s="24">
        <v>64</v>
      </c>
      <c r="BN1" s="24">
        <v>65</v>
      </c>
      <c r="BO1" s="24">
        <v>66</v>
      </c>
      <c r="BP1" s="24">
        <v>67</v>
      </c>
      <c r="BQ1" s="24">
        <v>68</v>
      </c>
      <c r="BR1" s="24">
        <v>69</v>
      </c>
      <c r="BS1" s="24">
        <v>70</v>
      </c>
      <c r="BT1" s="24">
        <v>71</v>
      </c>
      <c r="BU1" s="24">
        <v>72</v>
      </c>
      <c r="BV1" s="24">
        <v>73</v>
      </c>
      <c r="BW1" s="24">
        <v>74</v>
      </c>
      <c r="BX1" s="24">
        <v>75</v>
      </c>
      <c r="BY1" s="24">
        <v>76</v>
      </c>
      <c r="BZ1" s="24">
        <v>77</v>
      </c>
      <c r="CA1" s="24">
        <v>78</v>
      </c>
      <c r="CB1" s="24">
        <v>79</v>
      </c>
      <c r="CC1" s="24">
        <v>80</v>
      </c>
      <c r="CD1" s="24">
        <v>81</v>
      </c>
      <c r="CE1" s="24">
        <v>82</v>
      </c>
      <c r="CF1" s="24">
        <v>83</v>
      </c>
      <c r="CG1" s="24">
        <v>84</v>
      </c>
      <c r="CH1" s="24">
        <v>85</v>
      </c>
      <c r="CI1" s="24">
        <v>86</v>
      </c>
      <c r="CJ1" s="24">
        <v>87</v>
      </c>
      <c r="CK1" s="199">
        <v>88</v>
      </c>
    </row>
    <row r="2" spans="1:89" s="12" customFormat="1" ht="13.5" customHeight="1">
      <c r="A2" s="10"/>
      <c r="B2" s="11"/>
      <c r="D2" s="3"/>
      <c r="E2" s="3"/>
      <c r="F2" s="13"/>
      <c r="G2" s="10"/>
      <c r="H2" s="14"/>
      <c r="I2" s="14"/>
      <c r="J2" s="14"/>
      <c r="K2" s="15">
        <f>K5</f>
        <v>3</v>
      </c>
      <c r="L2" s="14"/>
      <c r="M2" s="14"/>
      <c r="N2" s="14"/>
      <c r="O2" s="15">
        <f>O5</f>
        <v>3</v>
      </c>
      <c r="P2" s="14"/>
      <c r="Q2" s="14"/>
      <c r="R2" s="14"/>
      <c r="S2" s="15">
        <f>S5</f>
        <v>3</v>
      </c>
      <c r="T2" s="14"/>
      <c r="U2" s="14"/>
      <c r="V2" s="14"/>
      <c r="W2" s="15">
        <f>W5</f>
        <v>3</v>
      </c>
      <c r="X2" s="14"/>
      <c r="Y2" s="14"/>
      <c r="Z2" s="14"/>
      <c r="AA2" s="15">
        <f>AA5</f>
        <v>2</v>
      </c>
      <c r="AB2" s="14"/>
      <c r="AC2" s="14"/>
      <c r="AD2" s="14"/>
      <c r="AE2" s="15">
        <f>AE5</f>
        <v>2</v>
      </c>
      <c r="AF2" s="14"/>
      <c r="AG2" s="14"/>
      <c r="AH2" s="14"/>
      <c r="AI2" s="15">
        <f>AI5</f>
        <v>3</v>
      </c>
      <c r="AJ2" s="14"/>
      <c r="AK2" s="14"/>
      <c r="AL2" s="14"/>
      <c r="AM2" s="15">
        <f>AM5</f>
        <v>2</v>
      </c>
      <c r="AN2" s="14"/>
      <c r="AO2" s="14"/>
      <c r="AP2" s="14"/>
      <c r="AQ2" s="15">
        <f>AQ5</f>
        <v>3</v>
      </c>
      <c r="AR2" s="14"/>
      <c r="AS2" s="14"/>
      <c r="AT2" s="14"/>
      <c r="AU2" s="15">
        <f>AU5</f>
        <v>3</v>
      </c>
      <c r="AV2" s="14"/>
      <c r="AW2" s="14"/>
      <c r="AX2" s="14"/>
      <c r="AY2" s="15">
        <f>AY5</f>
        <v>3</v>
      </c>
      <c r="AZ2" s="14"/>
      <c r="BA2" s="14"/>
      <c r="BB2" s="14"/>
      <c r="BC2" s="15">
        <f>BC5</f>
        <v>2</v>
      </c>
      <c r="BD2" s="14"/>
      <c r="BE2" s="14"/>
      <c r="BF2" s="14"/>
      <c r="BG2" s="15">
        <f>BG5</f>
        <v>3</v>
      </c>
      <c r="BH2" s="14"/>
      <c r="BI2" s="14"/>
      <c r="BJ2" s="14"/>
      <c r="BK2" s="15">
        <f>BK5</f>
        <v>3</v>
      </c>
      <c r="BL2" s="14"/>
      <c r="BM2" s="14"/>
      <c r="BN2" s="14"/>
      <c r="BO2" s="15">
        <f>BO5</f>
        <v>3</v>
      </c>
      <c r="BP2" s="14"/>
      <c r="BQ2" s="14"/>
      <c r="BR2" s="14"/>
      <c r="BS2" s="15">
        <f>BS5</f>
        <v>2</v>
      </c>
      <c r="BT2" s="14"/>
      <c r="BU2" s="14"/>
      <c r="BV2" s="14"/>
      <c r="BW2" s="15">
        <f>BW5</f>
        <v>3</v>
      </c>
      <c r="BX2" s="14"/>
      <c r="BY2" s="14"/>
      <c r="BZ2" s="14"/>
      <c r="CA2" s="15">
        <f>CA5</f>
        <v>3</v>
      </c>
      <c r="CB2" s="14"/>
      <c r="CC2" s="14"/>
      <c r="CD2" s="14"/>
      <c r="CE2" s="15">
        <f>CE5</f>
        <v>3</v>
      </c>
      <c r="CF2" s="14"/>
      <c r="CG2" s="14"/>
      <c r="CH2" s="14"/>
      <c r="CI2" s="15">
        <f>CI5</f>
        <v>2</v>
      </c>
      <c r="CJ2" s="15"/>
      <c r="CK2" s="200">
        <f>SUM(H2:CI2)</f>
        <v>54</v>
      </c>
    </row>
    <row r="3" spans="1:89" s="18" customFormat="1" ht="13.5" hidden="1" customHeight="1">
      <c r="A3" s="16"/>
      <c r="B3" s="17"/>
      <c r="D3" s="19"/>
      <c r="E3" s="19"/>
      <c r="F3" s="20"/>
      <c r="G3" s="16"/>
      <c r="H3" s="21"/>
      <c r="I3" s="21"/>
      <c r="J3" s="21"/>
      <c r="K3" s="22">
        <v>1</v>
      </c>
      <c r="L3" s="21"/>
      <c r="M3" s="21"/>
      <c r="N3" s="21"/>
      <c r="O3" s="22">
        <v>1</v>
      </c>
      <c r="P3" s="21"/>
      <c r="Q3" s="21"/>
      <c r="R3" s="21"/>
      <c r="S3" s="22">
        <v>1</v>
      </c>
      <c r="T3" s="21"/>
      <c r="U3" s="21"/>
      <c r="V3" s="21"/>
      <c r="W3" s="22">
        <v>1</v>
      </c>
      <c r="X3" s="21"/>
      <c r="Y3" s="21"/>
      <c r="Z3" s="21"/>
      <c r="AA3" s="22">
        <v>1</v>
      </c>
      <c r="AB3" s="21"/>
      <c r="AC3" s="21"/>
      <c r="AD3" s="21"/>
      <c r="AE3" s="22">
        <v>1</v>
      </c>
      <c r="AF3" s="21"/>
      <c r="AG3" s="21"/>
      <c r="AH3" s="21"/>
      <c r="AI3" s="22">
        <v>1</v>
      </c>
      <c r="AJ3" s="21"/>
      <c r="AK3" s="21"/>
      <c r="AL3" s="21"/>
      <c r="AM3" s="22">
        <v>1</v>
      </c>
      <c r="AN3" s="21"/>
      <c r="AO3" s="21"/>
      <c r="AP3" s="21"/>
      <c r="AQ3" s="22">
        <v>1</v>
      </c>
      <c r="AR3" s="21"/>
      <c r="AS3" s="21"/>
      <c r="AT3" s="21"/>
      <c r="AU3" s="22">
        <v>1</v>
      </c>
      <c r="AV3" s="21"/>
      <c r="AW3" s="21"/>
      <c r="AX3" s="21"/>
      <c r="AY3" s="22">
        <v>1</v>
      </c>
      <c r="AZ3" s="21"/>
      <c r="BA3" s="21"/>
      <c r="BB3" s="21"/>
      <c r="BC3" s="22">
        <v>1</v>
      </c>
      <c r="BD3" s="21"/>
      <c r="BE3" s="21"/>
      <c r="BF3" s="21"/>
      <c r="BG3" s="22">
        <v>1</v>
      </c>
      <c r="BH3" s="21"/>
      <c r="BI3" s="21"/>
      <c r="BJ3" s="21"/>
      <c r="BK3" s="22">
        <v>1</v>
      </c>
      <c r="BL3" s="21"/>
      <c r="BM3" s="21"/>
      <c r="BN3" s="21"/>
      <c r="BO3" s="22">
        <v>1</v>
      </c>
      <c r="BP3" s="21"/>
      <c r="BQ3" s="21"/>
      <c r="BR3" s="21"/>
      <c r="BS3" s="22">
        <v>1</v>
      </c>
      <c r="BT3" s="21"/>
      <c r="BU3" s="21"/>
      <c r="BV3" s="21"/>
      <c r="BW3" s="22">
        <v>1</v>
      </c>
      <c r="BX3" s="21"/>
      <c r="BY3" s="21"/>
      <c r="BZ3" s="21"/>
      <c r="CA3" s="22">
        <v>1</v>
      </c>
      <c r="CB3" s="21"/>
      <c r="CC3" s="21"/>
      <c r="CD3" s="21"/>
      <c r="CE3" s="22">
        <v>1</v>
      </c>
      <c r="CF3" s="21"/>
      <c r="CG3" s="21"/>
      <c r="CH3" s="21"/>
      <c r="CI3" s="22">
        <v>1</v>
      </c>
      <c r="CJ3" s="22"/>
      <c r="CK3" s="201"/>
    </row>
    <row r="4" spans="1:89" s="34" customFormat="1" ht="75.75" customHeight="1">
      <c r="A4" s="304" t="s">
        <v>0</v>
      </c>
      <c r="B4" s="308" t="s">
        <v>7</v>
      </c>
      <c r="C4" s="305" t="s">
        <v>1</v>
      </c>
      <c r="D4" s="302" t="s">
        <v>2</v>
      </c>
      <c r="E4" s="302" t="s">
        <v>48</v>
      </c>
      <c r="F4" s="307" t="s">
        <v>3</v>
      </c>
      <c r="G4" s="300" t="s">
        <v>17</v>
      </c>
      <c r="H4" s="98" t="s">
        <v>55</v>
      </c>
      <c r="I4" s="6"/>
      <c r="J4" s="6"/>
      <c r="K4" s="9" t="s">
        <v>162</v>
      </c>
      <c r="L4" s="98" t="s">
        <v>56</v>
      </c>
      <c r="M4" s="6"/>
      <c r="N4" s="6"/>
      <c r="O4" s="9" t="s">
        <v>57</v>
      </c>
      <c r="P4" s="98" t="s">
        <v>58</v>
      </c>
      <c r="Q4" s="6"/>
      <c r="R4" s="6"/>
      <c r="S4" s="9" t="s">
        <v>59</v>
      </c>
      <c r="T4" s="98" t="s">
        <v>60</v>
      </c>
      <c r="U4" s="6"/>
      <c r="V4" s="6"/>
      <c r="W4" s="9" t="s">
        <v>203</v>
      </c>
      <c r="X4" s="98" t="s">
        <v>154</v>
      </c>
      <c r="Y4" s="6"/>
      <c r="Z4" s="6"/>
      <c r="AA4" s="9" t="s">
        <v>61</v>
      </c>
      <c r="AB4" s="98" t="s">
        <v>104</v>
      </c>
      <c r="AC4" s="6"/>
      <c r="AD4" s="6"/>
      <c r="AE4" s="9" t="s">
        <v>135</v>
      </c>
      <c r="AF4" s="98" t="s">
        <v>91</v>
      </c>
      <c r="AG4" s="6"/>
      <c r="AH4" s="6"/>
      <c r="AI4" s="9" t="s">
        <v>137</v>
      </c>
      <c r="AJ4" s="98" t="s">
        <v>138</v>
      </c>
      <c r="AK4" s="6"/>
      <c r="AL4" s="6"/>
      <c r="AM4" s="9" t="s">
        <v>139</v>
      </c>
      <c r="AN4" s="98" t="s">
        <v>94</v>
      </c>
      <c r="AO4" s="6"/>
      <c r="AP4" s="6"/>
      <c r="AQ4" s="9" t="s">
        <v>140</v>
      </c>
      <c r="AR4" s="162" t="s">
        <v>141</v>
      </c>
      <c r="AS4" s="6"/>
      <c r="AT4" s="6"/>
      <c r="AU4" s="9" t="s">
        <v>136</v>
      </c>
      <c r="AV4" s="162" t="s">
        <v>142</v>
      </c>
      <c r="AW4" s="6"/>
      <c r="AX4" s="6"/>
      <c r="AY4" s="9" t="s">
        <v>143</v>
      </c>
      <c r="AZ4" s="162" t="s">
        <v>133</v>
      </c>
      <c r="BA4" s="6"/>
      <c r="BB4" s="6"/>
      <c r="BC4" s="9" t="s">
        <v>134</v>
      </c>
      <c r="BD4" s="162" t="s">
        <v>144</v>
      </c>
      <c r="BE4" s="6"/>
      <c r="BF4" s="6"/>
      <c r="BG4" s="9" t="s">
        <v>145</v>
      </c>
      <c r="BH4" s="104" t="s">
        <v>146</v>
      </c>
      <c r="BI4" s="105"/>
      <c r="BJ4" s="105"/>
      <c r="BK4" s="106" t="s">
        <v>147</v>
      </c>
      <c r="BL4" s="104" t="s">
        <v>116</v>
      </c>
      <c r="BM4" s="105"/>
      <c r="BN4" s="105"/>
      <c r="BO4" s="106" t="s">
        <v>132</v>
      </c>
      <c r="BP4" s="104" t="s">
        <v>148</v>
      </c>
      <c r="BQ4" s="105"/>
      <c r="BR4" s="105"/>
      <c r="BS4" s="106" t="s">
        <v>155</v>
      </c>
      <c r="BT4" s="163" t="s">
        <v>149</v>
      </c>
      <c r="BU4" s="105"/>
      <c r="BV4" s="105"/>
      <c r="BW4" s="106" t="s">
        <v>150</v>
      </c>
      <c r="BX4" s="163" t="s">
        <v>151</v>
      </c>
      <c r="BY4" s="105"/>
      <c r="BZ4" s="105"/>
      <c r="CA4" s="106" t="s">
        <v>152</v>
      </c>
      <c r="CB4" s="163" t="s">
        <v>106</v>
      </c>
      <c r="CC4" s="105"/>
      <c r="CD4" s="105"/>
      <c r="CE4" s="106" t="s">
        <v>161</v>
      </c>
      <c r="CF4" s="163" t="s">
        <v>121</v>
      </c>
      <c r="CG4" s="105"/>
      <c r="CH4" s="105"/>
      <c r="CI4" s="106" t="s">
        <v>153</v>
      </c>
      <c r="CJ4" s="65" t="s">
        <v>49</v>
      </c>
      <c r="CK4" s="202" t="s">
        <v>18</v>
      </c>
    </row>
    <row r="5" spans="1:89" s="35" customFormat="1" ht="17.25" customHeight="1">
      <c r="A5" s="304"/>
      <c r="B5" s="309"/>
      <c r="C5" s="306"/>
      <c r="D5" s="303"/>
      <c r="E5" s="303"/>
      <c r="F5" s="307"/>
      <c r="G5" s="301"/>
      <c r="H5" s="99" t="s">
        <v>4</v>
      </c>
      <c r="I5" s="99" t="s">
        <v>5</v>
      </c>
      <c r="J5" s="99" t="s">
        <v>6</v>
      </c>
      <c r="K5" s="7">
        <v>3</v>
      </c>
      <c r="L5" s="99" t="s">
        <v>4</v>
      </c>
      <c r="M5" s="99" t="s">
        <v>5</v>
      </c>
      <c r="N5" s="99" t="s">
        <v>6</v>
      </c>
      <c r="O5" s="7">
        <v>3</v>
      </c>
      <c r="P5" s="99" t="s">
        <v>4</v>
      </c>
      <c r="Q5" s="99" t="s">
        <v>5</v>
      </c>
      <c r="R5" s="99" t="s">
        <v>6</v>
      </c>
      <c r="S5" s="7">
        <v>3</v>
      </c>
      <c r="T5" s="99" t="s">
        <v>4</v>
      </c>
      <c r="U5" s="99" t="s">
        <v>5</v>
      </c>
      <c r="V5" s="99" t="s">
        <v>6</v>
      </c>
      <c r="W5" s="7">
        <v>3</v>
      </c>
      <c r="X5" s="99" t="s">
        <v>4</v>
      </c>
      <c r="Y5" s="99" t="s">
        <v>5</v>
      </c>
      <c r="Z5" s="99" t="s">
        <v>6</v>
      </c>
      <c r="AA5" s="7">
        <v>2</v>
      </c>
      <c r="AB5" s="99" t="s">
        <v>4</v>
      </c>
      <c r="AC5" s="99" t="s">
        <v>5</v>
      </c>
      <c r="AD5" s="99" t="s">
        <v>6</v>
      </c>
      <c r="AE5" s="7">
        <v>2</v>
      </c>
      <c r="AF5" s="99" t="s">
        <v>4</v>
      </c>
      <c r="AG5" s="99" t="s">
        <v>5</v>
      </c>
      <c r="AH5" s="99" t="s">
        <v>6</v>
      </c>
      <c r="AI5" s="7">
        <v>3</v>
      </c>
      <c r="AJ5" s="99" t="s">
        <v>4</v>
      </c>
      <c r="AK5" s="99" t="s">
        <v>5</v>
      </c>
      <c r="AL5" s="99" t="s">
        <v>6</v>
      </c>
      <c r="AM5" s="7">
        <v>2</v>
      </c>
      <c r="AN5" s="99" t="s">
        <v>4</v>
      </c>
      <c r="AO5" s="99" t="s">
        <v>5</v>
      </c>
      <c r="AP5" s="99" t="s">
        <v>6</v>
      </c>
      <c r="AQ5" s="7">
        <v>3</v>
      </c>
      <c r="AR5" s="99" t="s">
        <v>4</v>
      </c>
      <c r="AS5" s="99" t="s">
        <v>5</v>
      </c>
      <c r="AT5" s="99" t="s">
        <v>6</v>
      </c>
      <c r="AU5" s="7">
        <v>3</v>
      </c>
      <c r="AV5" s="99" t="s">
        <v>4</v>
      </c>
      <c r="AW5" s="99" t="s">
        <v>5</v>
      </c>
      <c r="AX5" s="99" t="s">
        <v>6</v>
      </c>
      <c r="AY5" s="7">
        <v>3</v>
      </c>
      <c r="AZ5" s="99" t="s">
        <v>4</v>
      </c>
      <c r="BA5" s="99" t="s">
        <v>5</v>
      </c>
      <c r="BB5" s="99" t="s">
        <v>6</v>
      </c>
      <c r="BC5" s="7">
        <v>2</v>
      </c>
      <c r="BD5" s="99" t="s">
        <v>4</v>
      </c>
      <c r="BE5" s="99" t="s">
        <v>5</v>
      </c>
      <c r="BF5" s="99" t="s">
        <v>6</v>
      </c>
      <c r="BG5" s="7">
        <v>3</v>
      </c>
      <c r="BH5" s="99" t="s">
        <v>4</v>
      </c>
      <c r="BI5" s="99" t="s">
        <v>5</v>
      </c>
      <c r="BJ5" s="99" t="s">
        <v>6</v>
      </c>
      <c r="BK5" s="7">
        <v>3</v>
      </c>
      <c r="BL5" s="99" t="s">
        <v>4</v>
      </c>
      <c r="BM5" s="99" t="s">
        <v>5</v>
      </c>
      <c r="BN5" s="99" t="s">
        <v>6</v>
      </c>
      <c r="BO5" s="7">
        <v>3</v>
      </c>
      <c r="BP5" s="99" t="s">
        <v>4</v>
      </c>
      <c r="BQ5" s="99" t="s">
        <v>5</v>
      </c>
      <c r="BR5" s="99" t="s">
        <v>6</v>
      </c>
      <c r="BS5" s="7">
        <v>2</v>
      </c>
      <c r="BT5" s="99" t="s">
        <v>4</v>
      </c>
      <c r="BU5" s="99" t="s">
        <v>5</v>
      </c>
      <c r="BV5" s="99" t="s">
        <v>6</v>
      </c>
      <c r="BW5" s="7">
        <v>3</v>
      </c>
      <c r="BX5" s="99" t="s">
        <v>4</v>
      </c>
      <c r="BY5" s="99" t="s">
        <v>5</v>
      </c>
      <c r="BZ5" s="99" t="s">
        <v>6</v>
      </c>
      <c r="CA5" s="7">
        <v>3</v>
      </c>
      <c r="CB5" s="99" t="s">
        <v>4</v>
      </c>
      <c r="CC5" s="99" t="s">
        <v>5</v>
      </c>
      <c r="CD5" s="99" t="s">
        <v>6</v>
      </c>
      <c r="CE5" s="7">
        <v>3</v>
      </c>
      <c r="CF5" s="99" t="s">
        <v>4</v>
      </c>
      <c r="CG5" s="99" t="s">
        <v>5</v>
      </c>
      <c r="CH5" s="99" t="s">
        <v>6</v>
      </c>
      <c r="CI5" s="7">
        <v>2</v>
      </c>
      <c r="CJ5" s="7"/>
      <c r="CK5" s="203">
        <f>SUM(H5:CI5)</f>
        <v>54</v>
      </c>
    </row>
    <row r="6" spans="1:89" s="102" customFormat="1" ht="18" customHeight="1">
      <c r="A6" s="103">
        <v>1</v>
      </c>
      <c r="B6" s="181">
        <v>25311106118</v>
      </c>
      <c r="C6" s="182" t="s">
        <v>165</v>
      </c>
      <c r="D6" s="183" t="s">
        <v>167</v>
      </c>
      <c r="E6" s="184" t="s">
        <v>166</v>
      </c>
      <c r="F6" s="185">
        <v>27383</v>
      </c>
      <c r="G6" s="160" t="s">
        <v>198</v>
      </c>
      <c r="H6" s="66">
        <v>6.9</v>
      </c>
      <c r="I6" s="67"/>
      <c r="J6" s="66"/>
      <c r="K6" s="68">
        <f t="shared" ref="K6:K18" si="0">IF(ISNUMBER(H6),MAX(H6:J6),H6)</f>
        <v>6.9</v>
      </c>
      <c r="L6" s="66">
        <v>7</v>
      </c>
      <c r="M6" s="67"/>
      <c r="N6" s="66"/>
      <c r="O6" s="68">
        <f t="shared" ref="O6:O18" si="1">IF(ISNUMBER(L6),MAX(L6:N6),L6)</f>
        <v>7</v>
      </c>
      <c r="P6" s="66">
        <v>7.6</v>
      </c>
      <c r="Q6" s="67"/>
      <c r="R6" s="66"/>
      <c r="S6" s="68">
        <f t="shared" ref="S6:S18" si="2">IF(ISNUMBER(P6),MAX(P6:R6),P6)</f>
        <v>7.6</v>
      </c>
      <c r="T6" s="66">
        <v>8.4</v>
      </c>
      <c r="U6" s="67"/>
      <c r="V6" s="66"/>
      <c r="W6" s="68">
        <f t="shared" ref="W6:W18" si="3">IF(ISNUMBER(T6),MAX(T6:V6),T6)</f>
        <v>8.4</v>
      </c>
      <c r="X6" s="66">
        <v>7.6</v>
      </c>
      <c r="Y6" s="67"/>
      <c r="Z6" s="66"/>
      <c r="AA6" s="68">
        <f t="shared" ref="AA6:AA18" si="4">MAX(X6:Z6)</f>
        <v>7.6</v>
      </c>
      <c r="AB6" s="66">
        <v>7.3</v>
      </c>
      <c r="AC6" s="67"/>
      <c r="AD6" s="66"/>
      <c r="AE6" s="68">
        <f t="shared" ref="AE6:AE18" si="5">MAX(AB6:AD6)</f>
        <v>7.3</v>
      </c>
      <c r="AF6" s="66">
        <v>8.3000000000000007</v>
      </c>
      <c r="AG6" s="67"/>
      <c r="AH6" s="66"/>
      <c r="AI6" s="68">
        <f t="shared" ref="AI6:AI18" si="6">MAX(AF6:AH6)</f>
        <v>8.3000000000000007</v>
      </c>
      <c r="AJ6" s="198">
        <v>7.5</v>
      </c>
      <c r="AK6" s="67"/>
      <c r="AL6" s="66"/>
      <c r="AM6" s="68">
        <f t="shared" ref="AM6:AM18" si="7">MAX(AJ6:AL6)</f>
        <v>7.5</v>
      </c>
      <c r="AN6" s="66">
        <v>8.1999999999999993</v>
      </c>
      <c r="AO6" s="67"/>
      <c r="AP6" s="66"/>
      <c r="AQ6" s="68">
        <f t="shared" ref="AQ6:AQ18" si="8">MAX(AN6:AP6)</f>
        <v>8.1999999999999993</v>
      </c>
      <c r="AR6" s="66">
        <v>6.9</v>
      </c>
      <c r="AS6" s="67"/>
      <c r="AT6" s="66"/>
      <c r="AU6" s="68">
        <f t="shared" ref="AU6:AU18" si="9">MAX(AR6:AT6)</f>
        <v>6.9</v>
      </c>
      <c r="AV6" s="66">
        <v>7.9</v>
      </c>
      <c r="AW6" s="67"/>
      <c r="AX6" s="66"/>
      <c r="AY6" s="68">
        <f t="shared" ref="AY6:AY18" si="10">MAX(AV6:AX6)</f>
        <v>7.9</v>
      </c>
      <c r="AZ6" s="66">
        <v>7.6</v>
      </c>
      <c r="BA6" s="67"/>
      <c r="BB6" s="66"/>
      <c r="BC6" s="68">
        <f t="shared" ref="BC6:BC18" si="11">MAX(AZ6:BB6)</f>
        <v>7.6</v>
      </c>
      <c r="BD6" s="198">
        <v>7.3</v>
      </c>
      <c r="BE6" s="67"/>
      <c r="BF6" s="66"/>
      <c r="BG6" s="68">
        <f t="shared" ref="BG6:BG18" si="12">MAX(BD6:BF6)</f>
        <v>7.3</v>
      </c>
      <c r="BH6" s="66">
        <v>8.8000000000000007</v>
      </c>
      <c r="BI6" s="67"/>
      <c r="BJ6" s="66"/>
      <c r="BK6" s="68">
        <f t="shared" ref="BK6:BK18" si="13">MAX(BH6:BJ6)</f>
        <v>8.8000000000000007</v>
      </c>
      <c r="BL6" s="66">
        <v>8.9</v>
      </c>
      <c r="BM6" s="67"/>
      <c r="BN6" s="66"/>
      <c r="BO6" s="68">
        <f t="shared" ref="BO6:BO18" si="14">MAX(BL6:BN6)</f>
        <v>8.9</v>
      </c>
      <c r="BP6" s="66">
        <v>7.1</v>
      </c>
      <c r="BQ6" s="67"/>
      <c r="BR6" s="66"/>
      <c r="BS6" s="68">
        <f t="shared" ref="BS6:BS18" si="15">MAX(BP6:BR6)</f>
        <v>7.1</v>
      </c>
      <c r="BT6" s="66">
        <v>7.3</v>
      </c>
      <c r="BU6" s="67"/>
      <c r="BV6" s="66"/>
      <c r="BW6" s="68">
        <f t="shared" ref="BW6:BW18" si="16">MAX(BT6:BV6)</f>
        <v>7.3</v>
      </c>
      <c r="BX6" s="198">
        <v>8.4</v>
      </c>
      <c r="BY6" s="67"/>
      <c r="BZ6" s="66"/>
      <c r="CA6" s="68">
        <f t="shared" ref="CA6:CA18" si="17">MAX(BX6:BZ6)</f>
        <v>8.4</v>
      </c>
      <c r="CB6" s="66">
        <v>8.1</v>
      </c>
      <c r="CC6" s="67"/>
      <c r="CD6" s="66"/>
      <c r="CE6" s="68">
        <f t="shared" ref="CE6:CE18" si="18">MAX(CB6:CD6)</f>
        <v>8.1</v>
      </c>
      <c r="CF6" s="198">
        <v>7</v>
      </c>
      <c r="CG6" s="67"/>
      <c r="CH6" s="66"/>
      <c r="CI6" s="68">
        <f t="shared" ref="CI6:CI18" si="19">MAX(CF6:CH6)</f>
        <v>7</v>
      </c>
      <c r="CJ6" s="120">
        <f t="shared" ref="CJ6:CJ18" si="20">SUMIF(H6:CI6,"&gt;=4",$H$2:$CI$3)</f>
        <v>54</v>
      </c>
      <c r="CK6" s="205">
        <f t="shared" ref="CK6:CK18" si="21">IF(CJ6&gt;0,ROUND(SUMPRODUCT(H6:CI6,$H$2:$CI$2)/CJ6,2),0)</f>
        <v>7.74</v>
      </c>
    </row>
    <row r="7" spans="1:89" s="102" customFormat="1" ht="18" customHeight="1">
      <c r="A7" s="103">
        <v>2</v>
      </c>
      <c r="B7" s="181">
        <v>25311106119</v>
      </c>
      <c r="C7" s="182" t="s">
        <v>168</v>
      </c>
      <c r="D7" s="183" t="s">
        <v>169</v>
      </c>
      <c r="E7" s="184" t="s">
        <v>166</v>
      </c>
      <c r="F7" s="185">
        <v>30624</v>
      </c>
      <c r="G7" s="160" t="s">
        <v>198</v>
      </c>
      <c r="H7" s="66">
        <v>6.6</v>
      </c>
      <c r="I7" s="67"/>
      <c r="J7" s="66"/>
      <c r="K7" s="68">
        <f t="shared" si="0"/>
        <v>6.6</v>
      </c>
      <c r="L7" s="66">
        <v>8</v>
      </c>
      <c r="M7" s="67"/>
      <c r="N7" s="66"/>
      <c r="O7" s="68">
        <f t="shared" si="1"/>
        <v>8</v>
      </c>
      <c r="P7" s="66">
        <v>7.7</v>
      </c>
      <c r="Q7" s="67"/>
      <c r="R7" s="66"/>
      <c r="S7" s="68">
        <f t="shared" si="2"/>
        <v>7.7</v>
      </c>
      <c r="T7" s="66">
        <v>8.4</v>
      </c>
      <c r="U7" s="67"/>
      <c r="V7" s="66"/>
      <c r="W7" s="68">
        <f t="shared" si="3"/>
        <v>8.4</v>
      </c>
      <c r="X7" s="66">
        <v>7.4</v>
      </c>
      <c r="Y7" s="67"/>
      <c r="Z7" s="66"/>
      <c r="AA7" s="68">
        <f t="shared" si="4"/>
        <v>7.4</v>
      </c>
      <c r="AB7" s="66">
        <v>8.3000000000000007</v>
      </c>
      <c r="AC7" s="67"/>
      <c r="AD7" s="66"/>
      <c r="AE7" s="68">
        <f t="shared" si="5"/>
        <v>8.3000000000000007</v>
      </c>
      <c r="AF7" s="66">
        <v>8.3000000000000007</v>
      </c>
      <c r="AG7" s="67"/>
      <c r="AH7" s="66"/>
      <c r="AI7" s="68">
        <f t="shared" si="6"/>
        <v>8.3000000000000007</v>
      </c>
      <c r="AJ7" s="198">
        <v>8</v>
      </c>
      <c r="AK7" s="67"/>
      <c r="AL7" s="66"/>
      <c r="AM7" s="68">
        <f t="shared" si="7"/>
        <v>8</v>
      </c>
      <c r="AN7" s="66">
        <v>8</v>
      </c>
      <c r="AO7" s="67"/>
      <c r="AP7" s="66"/>
      <c r="AQ7" s="68">
        <f t="shared" si="8"/>
        <v>8</v>
      </c>
      <c r="AR7" s="66">
        <v>6.9</v>
      </c>
      <c r="AS7" s="67"/>
      <c r="AT7" s="66"/>
      <c r="AU7" s="68">
        <f t="shared" si="9"/>
        <v>6.9</v>
      </c>
      <c r="AV7" s="66">
        <v>8.3000000000000007</v>
      </c>
      <c r="AW7" s="67"/>
      <c r="AX7" s="66"/>
      <c r="AY7" s="68">
        <f t="shared" si="10"/>
        <v>8.3000000000000007</v>
      </c>
      <c r="AZ7" s="66">
        <v>7.8</v>
      </c>
      <c r="BA7" s="67"/>
      <c r="BB7" s="66"/>
      <c r="BC7" s="68">
        <f t="shared" si="11"/>
        <v>7.8</v>
      </c>
      <c r="BD7" s="198">
        <v>7.3</v>
      </c>
      <c r="BE7" s="67"/>
      <c r="BF7" s="66"/>
      <c r="BG7" s="68">
        <f t="shared" si="12"/>
        <v>7.3</v>
      </c>
      <c r="BH7" s="66">
        <v>8</v>
      </c>
      <c r="BI7" s="67"/>
      <c r="BJ7" s="66"/>
      <c r="BK7" s="68">
        <f t="shared" si="13"/>
        <v>8</v>
      </c>
      <c r="BL7" s="66">
        <v>8.9</v>
      </c>
      <c r="BM7" s="67"/>
      <c r="BN7" s="66"/>
      <c r="BO7" s="68">
        <f t="shared" si="14"/>
        <v>8.9</v>
      </c>
      <c r="BP7" s="66">
        <v>6.6</v>
      </c>
      <c r="BQ7" s="67"/>
      <c r="BR7" s="66"/>
      <c r="BS7" s="68">
        <f t="shared" si="15"/>
        <v>6.6</v>
      </c>
      <c r="BT7" s="66">
        <v>9</v>
      </c>
      <c r="BU7" s="67"/>
      <c r="BV7" s="66"/>
      <c r="BW7" s="68">
        <f t="shared" si="16"/>
        <v>9</v>
      </c>
      <c r="BX7" s="198">
        <v>8.1999999999999993</v>
      </c>
      <c r="BY7" s="67"/>
      <c r="BZ7" s="66"/>
      <c r="CA7" s="68">
        <f t="shared" si="17"/>
        <v>8.1999999999999993</v>
      </c>
      <c r="CB7" s="66">
        <v>7.8</v>
      </c>
      <c r="CC7" s="67"/>
      <c r="CD7" s="66"/>
      <c r="CE7" s="68">
        <f t="shared" si="18"/>
        <v>7.8</v>
      </c>
      <c r="CF7" s="198">
        <v>8</v>
      </c>
      <c r="CG7" s="67"/>
      <c r="CH7" s="66"/>
      <c r="CI7" s="68">
        <f t="shared" si="19"/>
        <v>8</v>
      </c>
      <c r="CJ7" s="120">
        <f t="shared" si="20"/>
        <v>54</v>
      </c>
      <c r="CK7" s="205">
        <f t="shared" si="21"/>
        <v>7.9</v>
      </c>
    </row>
    <row r="8" spans="1:89" s="102" customFormat="1" ht="18" customHeight="1">
      <c r="A8" s="103">
        <f t="shared" ref="A8:A18" si="22">A7+1</f>
        <v>3</v>
      </c>
      <c r="B8" s="181">
        <v>25311106120</v>
      </c>
      <c r="C8" s="182" t="s">
        <v>170</v>
      </c>
      <c r="D8" s="183" t="s">
        <v>171</v>
      </c>
      <c r="E8" s="184" t="s">
        <v>166</v>
      </c>
      <c r="F8" s="185">
        <v>28773</v>
      </c>
      <c r="G8" s="160" t="s">
        <v>198</v>
      </c>
      <c r="H8" s="66">
        <v>6.7</v>
      </c>
      <c r="I8" s="67"/>
      <c r="J8" s="66"/>
      <c r="K8" s="68">
        <f t="shared" si="0"/>
        <v>6.7</v>
      </c>
      <c r="L8" s="66">
        <v>7.9</v>
      </c>
      <c r="M8" s="67"/>
      <c r="N8" s="161"/>
      <c r="O8" s="68">
        <f t="shared" si="1"/>
        <v>7.9</v>
      </c>
      <c r="P8" s="66">
        <v>8.1999999999999993</v>
      </c>
      <c r="Q8" s="67"/>
      <c r="R8" s="161"/>
      <c r="S8" s="68">
        <f t="shared" si="2"/>
        <v>8.1999999999999993</v>
      </c>
      <c r="T8" s="66">
        <v>7.9</v>
      </c>
      <c r="U8" s="67"/>
      <c r="V8" s="66"/>
      <c r="W8" s="68">
        <f t="shared" si="3"/>
        <v>7.9</v>
      </c>
      <c r="X8" s="66">
        <v>7.9</v>
      </c>
      <c r="Y8" s="67"/>
      <c r="Z8" s="66"/>
      <c r="AA8" s="68">
        <f t="shared" si="4"/>
        <v>7.9</v>
      </c>
      <c r="AB8" s="66">
        <v>7.3</v>
      </c>
      <c r="AC8" s="67"/>
      <c r="AD8" s="66"/>
      <c r="AE8" s="68">
        <f t="shared" si="5"/>
        <v>7.3</v>
      </c>
      <c r="AF8" s="66">
        <v>8.3000000000000007</v>
      </c>
      <c r="AG8" s="67"/>
      <c r="AH8" s="66"/>
      <c r="AI8" s="68">
        <f t="shared" si="6"/>
        <v>8.3000000000000007</v>
      </c>
      <c r="AJ8" s="198">
        <v>7.5</v>
      </c>
      <c r="AK8" s="67"/>
      <c r="AL8" s="66"/>
      <c r="AM8" s="68">
        <f t="shared" si="7"/>
        <v>7.5</v>
      </c>
      <c r="AN8" s="66">
        <v>8.4</v>
      </c>
      <c r="AO8" s="67"/>
      <c r="AP8" s="66"/>
      <c r="AQ8" s="68">
        <f t="shared" si="8"/>
        <v>8.4</v>
      </c>
      <c r="AR8" s="66">
        <v>6.9</v>
      </c>
      <c r="AS8" s="67"/>
      <c r="AT8" s="66"/>
      <c r="AU8" s="68">
        <f t="shared" si="9"/>
        <v>6.9</v>
      </c>
      <c r="AV8" s="66">
        <v>8.3000000000000007</v>
      </c>
      <c r="AW8" s="67"/>
      <c r="AX8" s="66"/>
      <c r="AY8" s="68">
        <f t="shared" si="10"/>
        <v>8.3000000000000007</v>
      </c>
      <c r="AZ8" s="66">
        <v>8.1</v>
      </c>
      <c r="BA8" s="67"/>
      <c r="BB8" s="66"/>
      <c r="BC8" s="68">
        <f t="shared" si="11"/>
        <v>8.1</v>
      </c>
      <c r="BD8" s="198">
        <v>7</v>
      </c>
      <c r="BE8" s="67"/>
      <c r="BF8" s="66"/>
      <c r="BG8" s="68">
        <f t="shared" si="12"/>
        <v>7</v>
      </c>
      <c r="BH8" s="66">
        <v>8</v>
      </c>
      <c r="BI8" s="67"/>
      <c r="BJ8" s="66"/>
      <c r="BK8" s="68">
        <f t="shared" si="13"/>
        <v>8</v>
      </c>
      <c r="BL8" s="66">
        <v>8.9</v>
      </c>
      <c r="BM8" s="67"/>
      <c r="BN8" s="66"/>
      <c r="BO8" s="68">
        <f t="shared" si="14"/>
        <v>8.9</v>
      </c>
      <c r="BP8" s="66">
        <v>6.5</v>
      </c>
      <c r="BQ8" s="67"/>
      <c r="BR8" s="66"/>
      <c r="BS8" s="68">
        <f t="shared" si="15"/>
        <v>6.5</v>
      </c>
      <c r="BT8" s="66">
        <v>8.5</v>
      </c>
      <c r="BU8" s="67"/>
      <c r="BV8" s="66"/>
      <c r="BW8" s="68">
        <f t="shared" si="16"/>
        <v>8.5</v>
      </c>
      <c r="BX8" s="198">
        <v>8.4</v>
      </c>
      <c r="BY8" s="67"/>
      <c r="BZ8" s="66"/>
      <c r="CA8" s="68">
        <f t="shared" si="17"/>
        <v>8.4</v>
      </c>
      <c r="CB8" s="66">
        <v>7</v>
      </c>
      <c r="CC8" s="67"/>
      <c r="CD8" s="66"/>
      <c r="CE8" s="68">
        <f t="shared" si="18"/>
        <v>7</v>
      </c>
      <c r="CF8" s="198">
        <v>7</v>
      </c>
      <c r="CG8" s="67"/>
      <c r="CH8" s="66"/>
      <c r="CI8" s="68">
        <f t="shared" si="19"/>
        <v>7</v>
      </c>
      <c r="CJ8" s="120">
        <f t="shared" si="20"/>
        <v>54</v>
      </c>
      <c r="CK8" s="205">
        <f t="shared" si="21"/>
        <v>7.77</v>
      </c>
    </row>
    <row r="9" spans="1:89" s="102" customFormat="1" ht="18" customHeight="1">
      <c r="A9" s="103">
        <f t="shared" si="22"/>
        <v>4</v>
      </c>
      <c r="B9" s="181">
        <v>25311106121</v>
      </c>
      <c r="C9" s="182" t="s">
        <v>172</v>
      </c>
      <c r="D9" s="183" t="s">
        <v>173</v>
      </c>
      <c r="E9" s="184" t="s">
        <v>166</v>
      </c>
      <c r="F9" s="185">
        <v>34618</v>
      </c>
      <c r="G9" s="160" t="s">
        <v>199</v>
      </c>
      <c r="H9" s="66">
        <v>6.9</v>
      </c>
      <c r="I9" s="67"/>
      <c r="J9" s="66"/>
      <c r="K9" s="68">
        <f t="shared" si="0"/>
        <v>6.9</v>
      </c>
      <c r="L9" s="66">
        <v>7.2</v>
      </c>
      <c r="M9" s="67"/>
      <c r="N9" s="66"/>
      <c r="O9" s="68">
        <f t="shared" si="1"/>
        <v>7.2</v>
      </c>
      <c r="P9" s="66">
        <v>0</v>
      </c>
      <c r="Q9" s="67"/>
      <c r="R9" s="66">
        <v>7.4</v>
      </c>
      <c r="S9" s="68">
        <f t="shared" si="2"/>
        <v>7.4</v>
      </c>
      <c r="T9" s="66">
        <v>8.1</v>
      </c>
      <c r="U9" s="67"/>
      <c r="V9" s="66"/>
      <c r="W9" s="68">
        <f t="shared" si="3"/>
        <v>8.1</v>
      </c>
      <c r="X9" s="66">
        <v>7.4</v>
      </c>
      <c r="Y9" s="67"/>
      <c r="Z9" s="66"/>
      <c r="AA9" s="68">
        <f t="shared" si="4"/>
        <v>7.4</v>
      </c>
      <c r="AB9" s="66">
        <v>7.6</v>
      </c>
      <c r="AC9" s="67"/>
      <c r="AD9" s="66"/>
      <c r="AE9" s="68">
        <f t="shared" si="5"/>
        <v>7.6</v>
      </c>
      <c r="AF9" s="66">
        <v>9</v>
      </c>
      <c r="AG9" s="67"/>
      <c r="AH9" s="66"/>
      <c r="AI9" s="68">
        <f t="shared" si="6"/>
        <v>9</v>
      </c>
      <c r="AJ9" s="198">
        <v>7.7</v>
      </c>
      <c r="AK9" s="67"/>
      <c r="AL9" s="66"/>
      <c r="AM9" s="68">
        <f t="shared" si="7"/>
        <v>7.7</v>
      </c>
      <c r="AN9" s="66">
        <v>8.6</v>
      </c>
      <c r="AO9" s="67"/>
      <c r="AP9" s="66"/>
      <c r="AQ9" s="68">
        <f t="shared" si="8"/>
        <v>8.6</v>
      </c>
      <c r="AR9" s="66">
        <v>6.9</v>
      </c>
      <c r="AS9" s="67"/>
      <c r="AT9" s="66"/>
      <c r="AU9" s="68">
        <f t="shared" si="9"/>
        <v>6.9</v>
      </c>
      <c r="AV9" s="66">
        <v>8</v>
      </c>
      <c r="AW9" s="67"/>
      <c r="AX9" s="66"/>
      <c r="AY9" s="68">
        <f t="shared" si="10"/>
        <v>8</v>
      </c>
      <c r="AZ9" s="66">
        <v>7.8</v>
      </c>
      <c r="BA9" s="67"/>
      <c r="BB9" s="66"/>
      <c r="BC9" s="68">
        <f t="shared" si="11"/>
        <v>7.8</v>
      </c>
      <c r="BD9" s="198">
        <v>7.1</v>
      </c>
      <c r="BE9" s="67"/>
      <c r="BF9" s="66"/>
      <c r="BG9" s="68">
        <f t="shared" si="12"/>
        <v>7.1</v>
      </c>
      <c r="BH9" s="66">
        <v>8.8000000000000007</v>
      </c>
      <c r="BI9" s="67"/>
      <c r="BJ9" s="66"/>
      <c r="BK9" s="68">
        <f t="shared" si="13"/>
        <v>8.8000000000000007</v>
      </c>
      <c r="BL9" s="66">
        <v>9</v>
      </c>
      <c r="BM9" s="67"/>
      <c r="BN9" s="66"/>
      <c r="BO9" s="68">
        <f t="shared" si="14"/>
        <v>9</v>
      </c>
      <c r="BP9" s="66">
        <v>6.6</v>
      </c>
      <c r="BQ9" s="67"/>
      <c r="BR9" s="66"/>
      <c r="BS9" s="68">
        <f t="shared" si="15"/>
        <v>6.6</v>
      </c>
      <c r="BT9" s="66">
        <v>9</v>
      </c>
      <c r="BU9" s="67"/>
      <c r="BV9" s="66"/>
      <c r="BW9" s="68">
        <f t="shared" si="16"/>
        <v>9</v>
      </c>
      <c r="BX9" s="198">
        <v>7.8</v>
      </c>
      <c r="BY9" s="67"/>
      <c r="BZ9" s="66"/>
      <c r="CA9" s="68">
        <f t="shared" si="17"/>
        <v>7.8</v>
      </c>
      <c r="CB9" s="66">
        <v>7.9</v>
      </c>
      <c r="CC9" s="67"/>
      <c r="CD9" s="66"/>
      <c r="CE9" s="68">
        <f t="shared" si="18"/>
        <v>7.9</v>
      </c>
      <c r="CF9" s="198">
        <v>8</v>
      </c>
      <c r="CG9" s="67"/>
      <c r="CH9" s="66"/>
      <c r="CI9" s="68">
        <f t="shared" si="19"/>
        <v>8</v>
      </c>
      <c r="CJ9" s="120">
        <f t="shared" si="20"/>
        <v>54</v>
      </c>
      <c r="CK9" s="205">
        <f t="shared" si="21"/>
        <v>7.88</v>
      </c>
    </row>
    <row r="10" spans="1:89" s="102" customFormat="1" ht="18" customHeight="1">
      <c r="A10" s="103">
        <f t="shared" si="22"/>
        <v>5</v>
      </c>
      <c r="B10" s="181">
        <v>25301106122</v>
      </c>
      <c r="C10" s="182" t="s">
        <v>174</v>
      </c>
      <c r="D10" s="183" t="s">
        <v>175</v>
      </c>
      <c r="E10" s="184" t="s">
        <v>176</v>
      </c>
      <c r="F10" s="185" t="s">
        <v>177</v>
      </c>
      <c r="G10" s="160" t="s">
        <v>198</v>
      </c>
      <c r="H10" s="66">
        <v>0</v>
      </c>
      <c r="I10" s="67"/>
      <c r="J10" s="66">
        <v>8</v>
      </c>
      <c r="K10" s="68">
        <f t="shared" si="0"/>
        <v>8</v>
      </c>
      <c r="L10" s="66">
        <v>0</v>
      </c>
      <c r="M10" s="67"/>
      <c r="N10" s="66">
        <v>8.5</v>
      </c>
      <c r="O10" s="68">
        <f t="shared" si="1"/>
        <v>8.5</v>
      </c>
      <c r="P10" s="66">
        <v>0</v>
      </c>
      <c r="Q10" s="67"/>
      <c r="R10" s="66">
        <v>8.3000000000000007</v>
      </c>
      <c r="S10" s="68">
        <f t="shared" si="2"/>
        <v>8.3000000000000007</v>
      </c>
      <c r="T10" s="66">
        <v>9.1</v>
      </c>
      <c r="U10" s="67"/>
      <c r="V10" s="66"/>
      <c r="W10" s="68">
        <f t="shared" si="3"/>
        <v>9.1</v>
      </c>
      <c r="X10" s="66">
        <v>0</v>
      </c>
      <c r="Y10" s="67"/>
      <c r="Z10" s="66">
        <v>7.3</v>
      </c>
      <c r="AA10" s="68">
        <f t="shared" si="4"/>
        <v>7.3</v>
      </c>
      <c r="AB10" s="66">
        <v>8</v>
      </c>
      <c r="AC10" s="67"/>
      <c r="AD10" s="66"/>
      <c r="AE10" s="68">
        <f t="shared" si="5"/>
        <v>8</v>
      </c>
      <c r="AF10" s="66">
        <v>9.3000000000000007</v>
      </c>
      <c r="AG10" s="67"/>
      <c r="AH10" s="66"/>
      <c r="AI10" s="68">
        <f t="shared" si="6"/>
        <v>9.3000000000000007</v>
      </c>
      <c r="AJ10" s="198">
        <v>7.6</v>
      </c>
      <c r="AK10" s="67"/>
      <c r="AL10" s="66"/>
      <c r="AM10" s="68">
        <f t="shared" si="7"/>
        <v>7.6</v>
      </c>
      <c r="AN10" s="66">
        <v>7.8</v>
      </c>
      <c r="AO10" s="67"/>
      <c r="AP10" s="66"/>
      <c r="AQ10" s="68">
        <f t="shared" si="8"/>
        <v>7.8</v>
      </c>
      <c r="AR10" s="66">
        <v>8.6999999999999993</v>
      </c>
      <c r="AS10" s="67"/>
      <c r="AT10" s="66"/>
      <c r="AU10" s="68">
        <f t="shared" si="9"/>
        <v>8.6999999999999993</v>
      </c>
      <c r="AV10" s="66">
        <v>8.5</v>
      </c>
      <c r="AW10" s="67"/>
      <c r="AX10" s="66"/>
      <c r="AY10" s="68">
        <f t="shared" si="10"/>
        <v>8.5</v>
      </c>
      <c r="AZ10" s="66">
        <v>8.3000000000000007</v>
      </c>
      <c r="BA10" s="67"/>
      <c r="BB10" s="66"/>
      <c r="BC10" s="68">
        <f t="shared" si="11"/>
        <v>8.3000000000000007</v>
      </c>
      <c r="BD10" s="198">
        <v>7.7</v>
      </c>
      <c r="BE10" s="67"/>
      <c r="BF10" s="66"/>
      <c r="BG10" s="68">
        <f t="shared" si="12"/>
        <v>7.7</v>
      </c>
      <c r="BH10" s="66">
        <v>7.7</v>
      </c>
      <c r="BI10" s="67"/>
      <c r="BJ10" s="66"/>
      <c r="BK10" s="68">
        <f t="shared" si="13"/>
        <v>7.7</v>
      </c>
      <c r="BL10" s="66">
        <v>9</v>
      </c>
      <c r="BM10" s="67"/>
      <c r="BN10" s="66"/>
      <c r="BO10" s="68">
        <f t="shared" si="14"/>
        <v>9</v>
      </c>
      <c r="BP10" s="66">
        <v>7.6</v>
      </c>
      <c r="BQ10" s="67"/>
      <c r="BR10" s="66"/>
      <c r="BS10" s="68">
        <f t="shared" si="15"/>
        <v>7.6</v>
      </c>
      <c r="BT10" s="66">
        <v>9</v>
      </c>
      <c r="BU10" s="67"/>
      <c r="BV10" s="66"/>
      <c r="BW10" s="68">
        <f t="shared" si="16"/>
        <v>9</v>
      </c>
      <c r="BX10" s="198">
        <v>8.5</v>
      </c>
      <c r="BY10" s="67"/>
      <c r="BZ10" s="66"/>
      <c r="CA10" s="68">
        <f t="shared" si="17"/>
        <v>8.5</v>
      </c>
      <c r="CB10" s="66">
        <v>8.6</v>
      </c>
      <c r="CC10" s="67"/>
      <c r="CD10" s="66"/>
      <c r="CE10" s="68">
        <f t="shared" si="18"/>
        <v>8.6</v>
      </c>
      <c r="CF10" s="198">
        <v>7.5</v>
      </c>
      <c r="CG10" s="67"/>
      <c r="CH10" s="66"/>
      <c r="CI10" s="68">
        <f t="shared" si="19"/>
        <v>7.5</v>
      </c>
      <c r="CJ10" s="120">
        <f t="shared" si="20"/>
        <v>54</v>
      </c>
      <c r="CK10" s="205">
        <f t="shared" si="21"/>
        <v>8.31</v>
      </c>
    </row>
    <row r="11" spans="1:89" s="102" customFormat="1" ht="18" customHeight="1">
      <c r="A11" s="103">
        <f t="shared" si="22"/>
        <v>6</v>
      </c>
      <c r="B11" s="181">
        <v>25301106123</v>
      </c>
      <c r="C11" s="182" t="s">
        <v>178</v>
      </c>
      <c r="D11" s="183" t="s">
        <v>179</v>
      </c>
      <c r="E11" s="184" t="s">
        <v>176</v>
      </c>
      <c r="F11" s="185">
        <v>29224</v>
      </c>
      <c r="G11" s="160" t="s">
        <v>198</v>
      </c>
      <c r="H11" s="66">
        <v>6.9</v>
      </c>
      <c r="I11" s="67"/>
      <c r="J11" s="66"/>
      <c r="K11" s="68">
        <f t="shared" si="0"/>
        <v>6.9</v>
      </c>
      <c r="L11" s="66">
        <v>8.3000000000000007</v>
      </c>
      <c r="M11" s="67"/>
      <c r="N11" s="66"/>
      <c r="O11" s="68">
        <f t="shared" si="1"/>
        <v>8.3000000000000007</v>
      </c>
      <c r="P11" s="66">
        <v>8.4</v>
      </c>
      <c r="Q11" s="67"/>
      <c r="R11" s="66"/>
      <c r="S11" s="68">
        <f t="shared" si="2"/>
        <v>8.4</v>
      </c>
      <c r="T11" s="66">
        <v>8.8000000000000007</v>
      </c>
      <c r="U11" s="67"/>
      <c r="V11" s="66"/>
      <c r="W11" s="68">
        <f t="shared" si="3"/>
        <v>8.8000000000000007</v>
      </c>
      <c r="X11" s="66">
        <v>7.6</v>
      </c>
      <c r="Y11" s="67"/>
      <c r="Z11" s="66"/>
      <c r="AA11" s="68">
        <f t="shared" si="4"/>
        <v>7.6</v>
      </c>
      <c r="AB11" s="66">
        <v>7.6</v>
      </c>
      <c r="AC11" s="67"/>
      <c r="AD11" s="66"/>
      <c r="AE11" s="68">
        <f t="shared" si="5"/>
        <v>7.6</v>
      </c>
      <c r="AF11" s="66">
        <v>9.3000000000000007</v>
      </c>
      <c r="AG11" s="67"/>
      <c r="AH11" s="66"/>
      <c r="AI11" s="68">
        <f t="shared" si="6"/>
        <v>9.3000000000000007</v>
      </c>
      <c r="AJ11" s="198">
        <v>7.5</v>
      </c>
      <c r="AK11" s="67"/>
      <c r="AL11" s="66"/>
      <c r="AM11" s="68">
        <f t="shared" si="7"/>
        <v>7.5</v>
      </c>
      <c r="AN11" s="66">
        <v>7.7</v>
      </c>
      <c r="AO11" s="67"/>
      <c r="AP11" s="66"/>
      <c r="AQ11" s="68">
        <f t="shared" si="8"/>
        <v>7.7</v>
      </c>
      <c r="AR11" s="66">
        <v>6.9</v>
      </c>
      <c r="AS11" s="67"/>
      <c r="AT11" s="66"/>
      <c r="AU11" s="68">
        <f t="shared" si="9"/>
        <v>6.9</v>
      </c>
      <c r="AV11" s="66">
        <v>7.9</v>
      </c>
      <c r="AW11" s="67"/>
      <c r="AX11" s="66"/>
      <c r="AY11" s="68">
        <f t="shared" si="10"/>
        <v>7.9</v>
      </c>
      <c r="AZ11" s="66">
        <v>8.1</v>
      </c>
      <c r="BA11" s="67"/>
      <c r="BB11" s="66"/>
      <c r="BC11" s="68">
        <f t="shared" si="11"/>
        <v>8.1</v>
      </c>
      <c r="BD11" s="198">
        <v>7.1</v>
      </c>
      <c r="BE11" s="67"/>
      <c r="BF11" s="66"/>
      <c r="BG11" s="68">
        <f t="shared" si="12"/>
        <v>7.1</v>
      </c>
      <c r="BH11" s="66">
        <v>8.8000000000000007</v>
      </c>
      <c r="BI11" s="67"/>
      <c r="BJ11" s="66"/>
      <c r="BK11" s="68">
        <f t="shared" si="13"/>
        <v>8.8000000000000007</v>
      </c>
      <c r="BL11" s="66">
        <v>9</v>
      </c>
      <c r="BM11" s="67"/>
      <c r="BN11" s="66"/>
      <c r="BO11" s="68">
        <f t="shared" si="14"/>
        <v>9</v>
      </c>
      <c r="BP11" s="66">
        <v>7</v>
      </c>
      <c r="BQ11" s="67"/>
      <c r="BR11" s="66"/>
      <c r="BS11" s="68">
        <f t="shared" si="15"/>
        <v>7</v>
      </c>
      <c r="BT11" s="66">
        <v>8.1</v>
      </c>
      <c r="BU11" s="67"/>
      <c r="BV11" s="66"/>
      <c r="BW11" s="68">
        <f t="shared" si="16"/>
        <v>8.1</v>
      </c>
      <c r="BX11" s="198">
        <v>7.7</v>
      </c>
      <c r="BY11" s="67"/>
      <c r="BZ11" s="66"/>
      <c r="CA11" s="68">
        <f t="shared" si="17"/>
        <v>7.7</v>
      </c>
      <c r="CB11" s="66">
        <v>7.3</v>
      </c>
      <c r="CC11" s="67"/>
      <c r="CD11" s="66"/>
      <c r="CE11" s="68">
        <f t="shared" si="18"/>
        <v>7.3</v>
      </c>
      <c r="CF11" s="198">
        <v>8.5</v>
      </c>
      <c r="CG11" s="67"/>
      <c r="CH11" s="66"/>
      <c r="CI11" s="68">
        <f t="shared" si="19"/>
        <v>8.5</v>
      </c>
      <c r="CJ11" s="120">
        <f t="shared" si="20"/>
        <v>54</v>
      </c>
      <c r="CK11" s="205">
        <f t="shared" si="21"/>
        <v>7.95</v>
      </c>
    </row>
    <row r="12" spans="1:89" s="102" customFormat="1" ht="18" customHeight="1">
      <c r="A12" s="103">
        <f t="shared" si="22"/>
        <v>7</v>
      </c>
      <c r="B12" s="181">
        <v>25311106124</v>
      </c>
      <c r="C12" s="182" t="s">
        <v>180</v>
      </c>
      <c r="D12" s="183" t="s">
        <v>181</v>
      </c>
      <c r="E12" s="184" t="s">
        <v>166</v>
      </c>
      <c r="F12" s="185">
        <v>29906</v>
      </c>
      <c r="G12" s="160" t="s">
        <v>198</v>
      </c>
      <c r="H12" s="66">
        <v>6.9</v>
      </c>
      <c r="I12" s="67"/>
      <c r="J12" s="66"/>
      <c r="K12" s="68">
        <f t="shared" si="0"/>
        <v>6.9</v>
      </c>
      <c r="L12" s="66">
        <v>8.1999999999999993</v>
      </c>
      <c r="M12" s="67"/>
      <c r="N12" s="66"/>
      <c r="O12" s="68">
        <f t="shared" si="1"/>
        <v>8.1999999999999993</v>
      </c>
      <c r="P12" s="66">
        <v>8.6</v>
      </c>
      <c r="Q12" s="67"/>
      <c r="R12" s="66"/>
      <c r="S12" s="68">
        <f t="shared" si="2"/>
        <v>8.6</v>
      </c>
      <c r="T12" s="66">
        <v>8.3000000000000007</v>
      </c>
      <c r="U12" s="67"/>
      <c r="V12" s="66"/>
      <c r="W12" s="68">
        <f t="shared" si="3"/>
        <v>8.3000000000000007</v>
      </c>
      <c r="X12" s="66">
        <v>8</v>
      </c>
      <c r="Y12" s="67"/>
      <c r="Z12" s="66"/>
      <c r="AA12" s="68">
        <f t="shared" si="4"/>
        <v>8</v>
      </c>
      <c r="AB12" s="66">
        <v>7.6</v>
      </c>
      <c r="AC12" s="67"/>
      <c r="AD12" s="66"/>
      <c r="AE12" s="68">
        <f t="shared" si="5"/>
        <v>7.6</v>
      </c>
      <c r="AF12" s="66">
        <v>9.3000000000000007</v>
      </c>
      <c r="AG12" s="67"/>
      <c r="AH12" s="66"/>
      <c r="AI12" s="68">
        <f t="shared" si="6"/>
        <v>9.3000000000000007</v>
      </c>
      <c r="AJ12" s="198">
        <v>8</v>
      </c>
      <c r="AK12" s="67"/>
      <c r="AL12" s="66"/>
      <c r="AM12" s="68">
        <f t="shared" si="7"/>
        <v>8</v>
      </c>
      <c r="AN12" s="66">
        <v>8.1999999999999993</v>
      </c>
      <c r="AO12" s="67"/>
      <c r="AP12" s="66"/>
      <c r="AQ12" s="68">
        <f t="shared" si="8"/>
        <v>8.1999999999999993</v>
      </c>
      <c r="AR12" s="66">
        <v>6.9</v>
      </c>
      <c r="AS12" s="67"/>
      <c r="AT12" s="66"/>
      <c r="AU12" s="68">
        <f t="shared" si="9"/>
        <v>6.9</v>
      </c>
      <c r="AV12" s="66">
        <v>8</v>
      </c>
      <c r="AW12" s="67"/>
      <c r="AX12" s="66"/>
      <c r="AY12" s="68">
        <f t="shared" si="10"/>
        <v>8</v>
      </c>
      <c r="AZ12" s="66">
        <v>8.3000000000000007</v>
      </c>
      <c r="BA12" s="67"/>
      <c r="BB12" s="66"/>
      <c r="BC12" s="68">
        <f t="shared" si="11"/>
        <v>8.3000000000000007</v>
      </c>
      <c r="BD12" s="198">
        <v>7.7</v>
      </c>
      <c r="BE12" s="67"/>
      <c r="BF12" s="66"/>
      <c r="BG12" s="68">
        <f t="shared" si="12"/>
        <v>7.7</v>
      </c>
      <c r="BH12" s="66">
        <v>9</v>
      </c>
      <c r="BI12" s="67"/>
      <c r="BJ12" s="66"/>
      <c r="BK12" s="68">
        <f t="shared" si="13"/>
        <v>9</v>
      </c>
      <c r="BL12" s="66">
        <v>8.9</v>
      </c>
      <c r="BM12" s="67"/>
      <c r="BN12" s="66"/>
      <c r="BO12" s="68">
        <f t="shared" si="14"/>
        <v>8.9</v>
      </c>
      <c r="BP12" s="66">
        <v>7</v>
      </c>
      <c r="BQ12" s="67"/>
      <c r="BR12" s="66"/>
      <c r="BS12" s="68">
        <f t="shared" si="15"/>
        <v>7</v>
      </c>
      <c r="BT12" s="66">
        <v>9</v>
      </c>
      <c r="BU12" s="67"/>
      <c r="BV12" s="66"/>
      <c r="BW12" s="68">
        <f t="shared" si="16"/>
        <v>9</v>
      </c>
      <c r="BX12" s="198">
        <v>7.7</v>
      </c>
      <c r="BY12" s="67"/>
      <c r="BZ12" s="66"/>
      <c r="CA12" s="68">
        <f t="shared" si="17"/>
        <v>7.7</v>
      </c>
      <c r="CB12" s="66">
        <v>7.9</v>
      </c>
      <c r="CC12" s="67"/>
      <c r="CD12" s="66"/>
      <c r="CE12" s="68">
        <f t="shared" si="18"/>
        <v>7.9</v>
      </c>
      <c r="CF12" s="198">
        <v>8.1</v>
      </c>
      <c r="CG12" s="67"/>
      <c r="CH12" s="66"/>
      <c r="CI12" s="68">
        <f t="shared" si="19"/>
        <v>8.1</v>
      </c>
      <c r="CJ12" s="120">
        <f t="shared" si="20"/>
        <v>54</v>
      </c>
      <c r="CK12" s="205">
        <f t="shared" si="21"/>
        <v>8.11</v>
      </c>
    </row>
    <row r="13" spans="1:89" s="102" customFormat="1" ht="18" customHeight="1">
      <c r="A13" s="103">
        <f t="shared" si="22"/>
        <v>8</v>
      </c>
      <c r="B13" s="181">
        <v>25311106125</v>
      </c>
      <c r="C13" s="182" t="s">
        <v>182</v>
      </c>
      <c r="D13" s="183" t="s">
        <v>183</v>
      </c>
      <c r="E13" s="184" t="s">
        <v>166</v>
      </c>
      <c r="F13" s="185">
        <v>29351</v>
      </c>
      <c r="G13" s="160" t="s">
        <v>198</v>
      </c>
      <c r="H13" s="66">
        <v>7.1</v>
      </c>
      <c r="I13" s="67"/>
      <c r="J13" s="66"/>
      <c r="K13" s="68">
        <f t="shared" si="0"/>
        <v>7.1</v>
      </c>
      <c r="L13" s="66">
        <v>7.6</v>
      </c>
      <c r="M13" s="67"/>
      <c r="N13" s="66"/>
      <c r="O13" s="68">
        <f t="shared" si="1"/>
        <v>7.6</v>
      </c>
      <c r="P13" s="66">
        <v>8.3000000000000007</v>
      </c>
      <c r="Q13" s="67"/>
      <c r="R13" s="66"/>
      <c r="S13" s="68">
        <f t="shared" si="2"/>
        <v>8.3000000000000007</v>
      </c>
      <c r="T13" s="66">
        <v>8.3000000000000007</v>
      </c>
      <c r="U13" s="67"/>
      <c r="V13" s="66"/>
      <c r="W13" s="68">
        <f t="shared" si="3"/>
        <v>8.3000000000000007</v>
      </c>
      <c r="X13" s="66">
        <v>8.1999999999999993</v>
      </c>
      <c r="Y13" s="67"/>
      <c r="Z13" s="66"/>
      <c r="AA13" s="68">
        <f t="shared" si="4"/>
        <v>8.1999999999999993</v>
      </c>
      <c r="AB13" s="66">
        <v>8.3000000000000007</v>
      </c>
      <c r="AC13" s="67"/>
      <c r="AD13" s="66"/>
      <c r="AE13" s="68">
        <f t="shared" si="5"/>
        <v>8.3000000000000007</v>
      </c>
      <c r="AF13" s="66">
        <v>8.3000000000000007</v>
      </c>
      <c r="AG13" s="67"/>
      <c r="AH13" s="66"/>
      <c r="AI13" s="68">
        <f t="shared" si="6"/>
        <v>8.3000000000000007</v>
      </c>
      <c r="AJ13" s="198">
        <v>7.5</v>
      </c>
      <c r="AK13" s="67"/>
      <c r="AL13" s="66"/>
      <c r="AM13" s="68">
        <f t="shared" si="7"/>
        <v>7.5</v>
      </c>
      <c r="AN13" s="66">
        <v>7.1</v>
      </c>
      <c r="AO13" s="67"/>
      <c r="AP13" s="66"/>
      <c r="AQ13" s="68">
        <f t="shared" si="8"/>
        <v>7.1</v>
      </c>
      <c r="AR13" s="66">
        <v>6.9</v>
      </c>
      <c r="AS13" s="67"/>
      <c r="AT13" s="66"/>
      <c r="AU13" s="68">
        <f t="shared" si="9"/>
        <v>6.9</v>
      </c>
      <c r="AV13" s="66">
        <v>8.3000000000000007</v>
      </c>
      <c r="AW13" s="67"/>
      <c r="AX13" s="66"/>
      <c r="AY13" s="68">
        <f t="shared" si="10"/>
        <v>8.3000000000000007</v>
      </c>
      <c r="AZ13" s="66">
        <v>8.3000000000000007</v>
      </c>
      <c r="BA13" s="67"/>
      <c r="BB13" s="66"/>
      <c r="BC13" s="68">
        <f t="shared" si="11"/>
        <v>8.3000000000000007</v>
      </c>
      <c r="BD13" s="198">
        <v>7</v>
      </c>
      <c r="BE13" s="67"/>
      <c r="BF13" s="66"/>
      <c r="BG13" s="68">
        <f t="shared" si="12"/>
        <v>7</v>
      </c>
      <c r="BH13" s="66">
        <v>8.1</v>
      </c>
      <c r="BI13" s="67"/>
      <c r="BJ13" s="66"/>
      <c r="BK13" s="68">
        <f t="shared" si="13"/>
        <v>8.1</v>
      </c>
      <c r="BL13" s="66">
        <v>8.9</v>
      </c>
      <c r="BM13" s="67"/>
      <c r="BN13" s="66"/>
      <c r="BO13" s="68">
        <f t="shared" si="14"/>
        <v>8.9</v>
      </c>
      <c r="BP13" s="66">
        <v>6.5</v>
      </c>
      <c r="BQ13" s="67"/>
      <c r="BR13" s="66"/>
      <c r="BS13" s="68">
        <f t="shared" si="15"/>
        <v>6.5</v>
      </c>
      <c r="BT13" s="66">
        <v>7.5</v>
      </c>
      <c r="BU13" s="67"/>
      <c r="BV13" s="66"/>
      <c r="BW13" s="68">
        <f t="shared" si="16"/>
        <v>7.5</v>
      </c>
      <c r="BX13" s="198">
        <v>8.4</v>
      </c>
      <c r="BY13" s="67"/>
      <c r="BZ13" s="66"/>
      <c r="CA13" s="68">
        <f t="shared" si="17"/>
        <v>8.4</v>
      </c>
      <c r="CB13" s="66">
        <v>7.8</v>
      </c>
      <c r="CC13" s="67"/>
      <c r="CD13" s="66"/>
      <c r="CE13" s="68">
        <f t="shared" si="18"/>
        <v>7.8</v>
      </c>
      <c r="CF13" s="198">
        <v>7</v>
      </c>
      <c r="CG13" s="67"/>
      <c r="CH13" s="66"/>
      <c r="CI13" s="68">
        <f t="shared" si="19"/>
        <v>7</v>
      </c>
      <c r="CJ13" s="120">
        <f t="shared" si="20"/>
        <v>54</v>
      </c>
      <c r="CK13" s="205">
        <f t="shared" si="21"/>
        <v>7.79</v>
      </c>
    </row>
    <row r="14" spans="1:89" s="197" customFormat="1" ht="18" customHeight="1">
      <c r="A14" s="186">
        <f t="shared" si="22"/>
        <v>9</v>
      </c>
      <c r="B14" s="187">
        <v>25311106126</v>
      </c>
      <c r="C14" s="188" t="s">
        <v>184</v>
      </c>
      <c r="D14" s="189" t="s">
        <v>185</v>
      </c>
      <c r="E14" s="190" t="s">
        <v>166</v>
      </c>
      <c r="F14" s="191" t="s">
        <v>186</v>
      </c>
      <c r="G14" s="192" t="s">
        <v>200</v>
      </c>
      <c r="H14" s="193">
        <v>6.9</v>
      </c>
      <c r="I14" s="194"/>
      <c r="J14" s="193"/>
      <c r="K14" s="195">
        <f t="shared" si="0"/>
        <v>6.9</v>
      </c>
      <c r="L14" s="193">
        <v>0</v>
      </c>
      <c r="M14" s="194"/>
      <c r="N14" s="193"/>
      <c r="O14" s="195">
        <f t="shared" si="1"/>
        <v>0</v>
      </c>
      <c r="P14" s="193">
        <v>0</v>
      </c>
      <c r="Q14" s="194"/>
      <c r="R14" s="193"/>
      <c r="S14" s="195">
        <f t="shared" si="2"/>
        <v>0</v>
      </c>
      <c r="T14" s="193">
        <v>0</v>
      </c>
      <c r="U14" s="194"/>
      <c r="V14" s="193"/>
      <c r="W14" s="195">
        <f t="shared" si="3"/>
        <v>0</v>
      </c>
      <c r="X14" s="193">
        <v>7.2</v>
      </c>
      <c r="Y14" s="194"/>
      <c r="Z14" s="193"/>
      <c r="AA14" s="195">
        <f t="shared" si="4"/>
        <v>7.2</v>
      </c>
      <c r="AB14" s="193">
        <v>8</v>
      </c>
      <c r="AC14" s="194"/>
      <c r="AD14" s="193"/>
      <c r="AE14" s="195">
        <f t="shared" si="5"/>
        <v>8</v>
      </c>
      <c r="AF14" s="193">
        <v>8.3000000000000007</v>
      </c>
      <c r="AG14" s="194"/>
      <c r="AH14" s="193"/>
      <c r="AI14" s="195">
        <f t="shared" si="6"/>
        <v>8.3000000000000007</v>
      </c>
      <c r="AJ14" s="193">
        <v>8.1</v>
      </c>
      <c r="AK14" s="194"/>
      <c r="AL14" s="193"/>
      <c r="AM14" s="195">
        <f t="shared" si="7"/>
        <v>8.1</v>
      </c>
      <c r="AN14" s="66">
        <v>7.8</v>
      </c>
      <c r="AO14" s="194"/>
      <c r="AP14" s="193"/>
      <c r="AQ14" s="195">
        <f t="shared" si="8"/>
        <v>7.8</v>
      </c>
      <c r="AR14" s="193">
        <v>8.9</v>
      </c>
      <c r="AS14" s="194"/>
      <c r="AT14" s="193"/>
      <c r="AU14" s="195">
        <f t="shared" si="9"/>
        <v>8.9</v>
      </c>
      <c r="AV14" s="193">
        <v>8.3000000000000007</v>
      </c>
      <c r="AW14" s="194"/>
      <c r="AX14" s="193"/>
      <c r="AY14" s="195">
        <f t="shared" si="10"/>
        <v>8.3000000000000007</v>
      </c>
      <c r="AZ14" s="193">
        <v>7.7</v>
      </c>
      <c r="BA14" s="194"/>
      <c r="BB14" s="193"/>
      <c r="BC14" s="195">
        <f t="shared" si="11"/>
        <v>7.7</v>
      </c>
      <c r="BD14" s="193">
        <v>7.1</v>
      </c>
      <c r="BE14" s="194"/>
      <c r="BF14" s="193"/>
      <c r="BG14" s="195">
        <f t="shared" si="12"/>
        <v>7.1</v>
      </c>
      <c r="BH14" s="193">
        <v>7.8</v>
      </c>
      <c r="BI14" s="194"/>
      <c r="BJ14" s="193"/>
      <c r="BK14" s="195">
        <f t="shared" si="13"/>
        <v>7.8</v>
      </c>
      <c r="BL14" s="193">
        <v>8.9</v>
      </c>
      <c r="BM14" s="194"/>
      <c r="BN14" s="193"/>
      <c r="BO14" s="195">
        <f t="shared" si="14"/>
        <v>8.9</v>
      </c>
      <c r="BP14" s="193">
        <v>7.5</v>
      </c>
      <c r="BQ14" s="194"/>
      <c r="BR14" s="193"/>
      <c r="BS14" s="195">
        <f t="shared" si="15"/>
        <v>7.5</v>
      </c>
      <c r="BT14" s="193">
        <v>9</v>
      </c>
      <c r="BU14" s="194"/>
      <c r="BV14" s="193"/>
      <c r="BW14" s="195">
        <f t="shared" si="16"/>
        <v>9</v>
      </c>
      <c r="BX14" s="193">
        <v>8.1999999999999993</v>
      </c>
      <c r="BY14" s="194"/>
      <c r="BZ14" s="193"/>
      <c r="CA14" s="195">
        <f t="shared" si="17"/>
        <v>8.1999999999999993</v>
      </c>
      <c r="CB14" s="193">
        <v>7.9</v>
      </c>
      <c r="CC14" s="194"/>
      <c r="CD14" s="193"/>
      <c r="CE14" s="195">
        <f t="shared" si="18"/>
        <v>7.9</v>
      </c>
      <c r="CF14" s="193">
        <v>7</v>
      </c>
      <c r="CG14" s="194"/>
      <c r="CH14" s="193"/>
      <c r="CI14" s="195">
        <f t="shared" si="19"/>
        <v>7</v>
      </c>
      <c r="CJ14" s="196">
        <f t="shared" si="20"/>
        <v>45</v>
      </c>
      <c r="CK14" s="204">
        <f t="shared" si="21"/>
        <v>7.96</v>
      </c>
    </row>
    <row r="15" spans="1:89" s="102" customFormat="1" ht="18" customHeight="1">
      <c r="A15" s="103">
        <f t="shared" si="22"/>
        <v>10</v>
      </c>
      <c r="B15" s="181">
        <v>25311106127</v>
      </c>
      <c r="C15" s="182" t="s">
        <v>187</v>
      </c>
      <c r="D15" s="183" t="s">
        <v>188</v>
      </c>
      <c r="E15" s="184" t="s">
        <v>166</v>
      </c>
      <c r="F15" s="185" t="s">
        <v>189</v>
      </c>
      <c r="G15" s="160" t="s">
        <v>199</v>
      </c>
      <c r="H15" s="66">
        <v>7.9</v>
      </c>
      <c r="I15" s="67"/>
      <c r="J15" s="66"/>
      <c r="K15" s="68">
        <f t="shared" si="0"/>
        <v>7.9</v>
      </c>
      <c r="L15" s="66">
        <v>7.7</v>
      </c>
      <c r="M15" s="67"/>
      <c r="N15" s="66"/>
      <c r="O15" s="68">
        <f t="shared" si="1"/>
        <v>7.7</v>
      </c>
      <c r="P15" s="66">
        <v>8.5</v>
      </c>
      <c r="Q15" s="67"/>
      <c r="R15" s="66"/>
      <c r="S15" s="68">
        <f t="shared" si="2"/>
        <v>8.5</v>
      </c>
      <c r="T15" s="66">
        <v>8.3000000000000007</v>
      </c>
      <c r="U15" s="67"/>
      <c r="V15" s="66"/>
      <c r="W15" s="68">
        <f t="shared" si="3"/>
        <v>8.3000000000000007</v>
      </c>
      <c r="X15" s="66">
        <v>8.3000000000000007</v>
      </c>
      <c r="Y15" s="67"/>
      <c r="Z15" s="66"/>
      <c r="AA15" s="68">
        <f t="shared" si="4"/>
        <v>8.3000000000000007</v>
      </c>
      <c r="AB15" s="66">
        <v>8</v>
      </c>
      <c r="AC15" s="67"/>
      <c r="AD15" s="66"/>
      <c r="AE15" s="68">
        <f t="shared" si="5"/>
        <v>8</v>
      </c>
      <c r="AF15" s="66">
        <v>8.3000000000000007</v>
      </c>
      <c r="AG15" s="67"/>
      <c r="AH15" s="66"/>
      <c r="AI15" s="68">
        <f t="shared" si="6"/>
        <v>8.3000000000000007</v>
      </c>
      <c r="AJ15" s="198">
        <v>7</v>
      </c>
      <c r="AK15" s="67"/>
      <c r="AL15" s="66"/>
      <c r="AM15" s="68">
        <f t="shared" si="7"/>
        <v>7</v>
      </c>
      <c r="AN15" s="66">
        <v>7.8</v>
      </c>
      <c r="AO15" s="67"/>
      <c r="AP15" s="66"/>
      <c r="AQ15" s="68">
        <f t="shared" si="8"/>
        <v>7.8</v>
      </c>
      <c r="AR15" s="66">
        <v>8</v>
      </c>
      <c r="AS15" s="67"/>
      <c r="AT15" s="66"/>
      <c r="AU15" s="68">
        <f t="shared" si="9"/>
        <v>8</v>
      </c>
      <c r="AV15" s="66">
        <v>8</v>
      </c>
      <c r="AW15" s="67"/>
      <c r="AX15" s="66"/>
      <c r="AY15" s="68">
        <f t="shared" si="10"/>
        <v>8</v>
      </c>
      <c r="AZ15" s="66">
        <v>7.8</v>
      </c>
      <c r="BA15" s="67"/>
      <c r="BB15" s="66"/>
      <c r="BC15" s="68">
        <f t="shared" si="11"/>
        <v>7.8</v>
      </c>
      <c r="BD15" s="198">
        <v>7.1</v>
      </c>
      <c r="BE15" s="67"/>
      <c r="BF15" s="66"/>
      <c r="BG15" s="68">
        <f t="shared" si="12"/>
        <v>7.1</v>
      </c>
      <c r="BH15" s="66">
        <v>7.8</v>
      </c>
      <c r="BI15" s="67"/>
      <c r="BJ15" s="66"/>
      <c r="BK15" s="68">
        <f t="shared" si="13"/>
        <v>7.8</v>
      </c>
      <c r="BL15" s="66">
        <v>9</v>
      </c>
      <c r="BM15" s="67"/>
      <c r="BN15" s="66"/>
      <c r="BO15" s="68">
        <f t="shared" si="14"/>
        <v>9</v>
      </c>
      <c r="BP15" s="66">
        <v>7.5</v>
      </c>
      <c r="BQ15" s="67"/>
      <c r="BR15" s="66"/>
      <c r="BS15" s="68">
        <f t="shared" si="15"/>
        <v>7.5</v>
      </c>
      <c r="BT15" s="66">
        <v>9</v>
      </c>
      <c r="BU15" s="67"/>
      <c r="BV15" s="66"/>
      <c r="BW15" s="68">
        <f t="shared" si="16"/>
        <v>9</v>
      </c>
      <c r="BX15" s="198">
        <v>8.1999999999999993</v>
      </c>
      <c r="BY15" s="67"/>
      <c r="BZ15" s="66"/>
      <c r="CA15" s="68">
        <f t="shared" si="17"/>
        <v>8.1999999999999993</v>
      </c>
      <c r="CB15" s="66">
        <v>7.3</v>
      </c>
      <c r="CC15" s="67"/>
      <c r="CD15" s="66"/>
      <c r="CE15" s="68">
        <f t="shared" si="18"/>
        <v>7.3</v>
      </c>
      <c r="CF15" s="198">
        <v>7.5</v>
      </c>
      <c r="CG15" s="67"/>
      <c r="CH15" s="66"/>
      <c r="CI15" s="68">
        <f t="shared" si="19"/>
        <v>7.5</v>
      </c>
      <c r="CJ15" s="120">
        <f t="shared" si="20"/>
        <v>54</v>
      </c>
      <c r="CK15" s="205">
        <f t="shared" si="21"/>
        <v>7.98</v>
      </c>
    </row>
    <row r="16" spans="1:89" s="102" customFormat="1" ht="18" customHeight="1">
      <c r="A16" s="186">
        <f t="shared" si="22"/>
        <v>11</v>
      </c>
      <c r="B16" s="181">
        <v>25311106129</v>
      </c>
      <c r="C16" s="182" t="s">
        <v>190</v>
      </c>
      <c r="D16" s="183" t="s">
        <v>191</v>
      </c>
      <c r="E16" s="184" t="s">
        <v>166</v>
      </c>
      <c r="F16" s="185">
        <v>31056</v>
      </c>
      <c r="G16" s="160" t="s">
        <v>198</v>
      </c>
      <c r="H16" s="66">
        <v>7</v>
      </c>
      <c r="I16" s="67"/>
      <c r="J16" s="66"/>
      <c r="K16" s="68">
        <f t="shared" si="0"/>
        <v>7</v>
      </c>
      <c r="L16" s="66">
        <v>7.8</v>
      </c>
      <c r="M16" s="67"/>
      <c r="N16" s="66"/>
      <c r="O16" s="68">
        <f t="shared" si="1"/>
        <v>7.8</v>
      </c>
      <c r="P16" s="66">
        <v>7.8</v>
      </c>
      <c r="Q16" s="67"/>
      <c r="R16" s="66"/>
      <c r="S16" s="68">
        <f t="shared" si="2"/>
        <v>7.8</v>
      </c>
      <c r="T16" s="66">
        <v>8.4</v>
      </c>
      <c r="U16" s="67"/>
      <c r="V16" s="66"/>
      <c r="W16" s="68">
        <f t="shared" si="3"/>
        <v>8.4</v>
      </c>
      <c r="X16" s="66">
        <v>8</v>
      </c>
      <c r="Y16" s="67"/>
      <c r="Z16" s="66"/>
      <c r="AA16" s="68">
        <f t="shared" si="4"/>
        <v>8</v>
      </c>
      <c r="AB16" s="66">
        <v>8.4</v>
      </c>
      <c r="AC16" s="67"/>
      <c r="AD16" s="66"/>
      <c r="AE16" s="68">
        <f t="shared" si="5"/>
        <v>8.4</v>
      </c>
      <c r="AF16" s="66">
        <v>8.3000000000000007</v>
      </c>
      <c r="AG16" s="67"/>
      <c r="AH16" s="66"/>
      <c r="AI16" s="68">
        <f t="shared" si="6"/>
        <v>8.3000000000000007</v>
      </c>
      <c r="AJ16" s="198">
        <v>8</v>
      </c>
      <c r="AK16" s="67"/>
      <c r="AL16" s="66"/>
      <c r="AM16" s="68">
        <f t="shared" si="7"/>
        <v>8</v>
      </c>
      <c r="AN16" s="66">
        <v>8.1999999999999993</v>
      </c>
      <c r="AO16" s="67"/>
      <c r="AP16" s="66"/>
      <c r="AQ16" s="68">
        <f t="shared" si="8"/>
        <v>8.1999999999999993</v>
      </c>
      <c r="AR16" s="66">
        <v>8.9</v>
      </c>
      <c r="AS16" s="67"/>
      <c r="AT16" s="66"/>
      <c r="AU16" s="68">
        <f t="shared" si="9"/>
        <v>8.9</v>
      </c>
      <c r="AV16" s="66">
        <v>7.7</v>
      </c>
      <c r="AW16" s="67"/>
      <c r="AX16" s="66"/>
      <c r="AY16" s="68">
        <f t="shared" si="10"/>
        <v>7.7</v>
      </c>
      <c r="AZ16" s="66">
        <v>7.9</v>
      </c>
      <c r="BA16" s="67"/>
      <c r="BB16" s="66"/>
      <c r="BC16" s="68">
        <f t="shared" si="11"/>
        <v>7.9</v>
      </c>
      <c r="BD16" s="198">
        <v>7.6</v>
      </c>
      <c r="BE16" s="67"/>
      <c r="BF16" s="66"/>
      <c r="BG16" s="68">
        <f t="shared" si="12"/>
        <v>7.6</v>
      </c>
      <c r="BH16" s="66">
        <v>7.8</v>
      </c>
      <c r="BI16" s="67"/>
      <c r="BJ16" s="66"/>
      <c r="BK16" s="68">
        <f t="shared" si="13"/>
        <v>7.8</v>
      </c>
      <c r="BL16" s="66">
        <v>8.9</v>
      </c>
      <c r="BM16" s="67"/>
      <c r="BN16" s="66"/>
      <c r="BO16" s="68">
        <f t="shared" si="14"/>
        <v>8.9</v>
      </c>
      <c r="BP16" s="66">
        <v>7.5</v>
      </c>
      <c r="BQ16" s="67"/>
      <c r="BR16" s="66"/>
      <c r="BS16" s="68">
        <f t="shared" si="15"/>
        <v>7.5</v>
      </c>
      <c r="BT16" s="66">
        <v>9</v>
      </c>
      <c r="BU16" s="67"/>
      <c r="BV16" s="66"/>
      <c r="BW16" s="68">
        <f t="shared" si="16"/>
        <v>9</v>
      </c>
      <c r="BX16" s="198">
        <v>8.5</v>
      </c>
      <c r="BY16" s="67"/>
      <c r="BZ16" s="66"/>
      <c r="CA16" s="68">
        <f t="shared" si="17"/>
        <v>8.5</v>
      </c>
      <c r="CB16" s="66">
        <v>7.6</v>
      </c>
      <c r="CC16" s="67"/>
      <c r="CD16" s="66"/>
      <c r="CE16" s="68">
        <f t="shared" si="18"/>
        <v>7.6</v>
      </c>
      <c r="CF16" s="198">
        <v>8.5</v>
      </c>
      <c r="CG16" s="67"/>
      <c r="CH16" s="66"/>
      <c r="CI16" s="68">
        <f t="shared" si="19"/>
        <v>8.5</v>
      </c>
      <c r="CJ16" s="120">
        <f t="shared" si="20"/>
        <v>54</v>
      </c>
      <c r="CK16" s="205">
        <f t="shared" si="21"/>
        <v>8.09</v>
      </c>
    </row>
    <row r="17" spans="1:89" s="102" customFormat="1" ht="18" customHeight="1">
      <c r="A17" s="103">
        <f t="shared" si="22"/>
        <v>12</v>
      </c>
      <c r="B17" s="181">
        <v>25301106130</v>
      </c>
      <c r="C17" s="182" t="s">
        <v>192</v>
      </c>
      <c r="D17" s="183" t="s">
        <v>193</v>
      </c>
      <c r="E17" s="184" t="s">
        <v>176</v>
      </c>
      <c r="F17" s="185" t="s">
        <v>194</v>
      </c>
      <c r="G17" s="160" t="s">
        <v>198</v>
      </c>
      <c r="H17" s="66">
        <v>6.6</v>
      </c>
      <c r="I17" s="67"/>
      <c r="J17" s="66"/>
      <c r="K17" s="68">
        <f t="shared" si="0"/>
        <v>6.6</v>
      </c>
      <c r="L17" s="66" t="s">
        <v>225</v>
      </c>
      <c r="M17" s="67"/>
      <c r="N17" s="66"/>
      <c r="O17" s="68" t="str">
        <f t="shared" si="1"/>
        <v>P</v>
      </c>
      <c r="P17" s="66" t="s">
        <v>225</v>
      </c>
      <c r="Q17" s="67"/>
      <c r="R17" s="66"/>
      <c r="S17" s="68" t="str">
        <f t="shared" si="2"/>
        <v>P</v>
      </c>
      <c r="T17" s="66">
        <v>8.3000000000000007</v>
      </c>
      <c r="U17" s="67"/>
      <c r="V17" s="66"/>
      <c r="W17" s="68">
        <f t="shared" si="3"/>
        <v>8.3000000000000007</v>
      </c>
      <c r="X17" s="66">
        <v>7.6</v>
      </c>
      <c r="Y17" s="67"/>
      <c r="Z17" s="66"/>
      <c r="AA17" s="68">
        <f t="shared" si="4"/>
        <v>7.6</v>
      </c>
      <c r="AB17" s="66">
        <v>7.6</v>
      </c>
      <c r="AC17" s="67"/>
      <c r="AD17" s="66"/>
      <c r="AE17" s="68">
        <f t="shared" si="5"/>
        <v>7.6</v>
      </c>
      <c r="AF17" s="66">
        <v>8.3000000000000007</v>
      </c>
      <c r="AG17" s="67"/>
      <c r="AH17" s="66"/>
      <c r="AI17" s="68">
        <f t="shared" si="6"/>
        <v>8.3000000000000007</v>
      </c>
      <c r="AJ17" s="198">
        <v>8</v>
      </c>
      <c r="AK17" s="67"/>
      <c r="AL17" s="66"/>
      <c r="AM17" s="68">
        <f t="shared" si="7"/>
        <v>8</v>
      </c>
      <c r="AN17" s="66">
        <v>7.1</v>
      </c>
      <c r="AO17" s="67"/>
      <c r="AP17" s="66"/>
      <c r="AQ17" s="68">
        <f t="shared" si="8"/>
        <v>7.1</v>
      </c>
      <c r="AR17" s="66">
        <v>6.9</v>
      </c>
      <c r="AS17" s="67"/>
      <c r="AT17" s="66"/>
      <c r="AU17" s="68">
        <f t="shared" si="9"/>
        <v>6.9</v>
      </c>
      <c r="AV17" s="66">
        <v>7.7</v>
      </c>
      <c r="AW17" s="67"/>
      <c r="AX17" s="66"/>
      <c r="AY17" s="68">
        <f t="shared" si="10"/>
        <v>7.7</v>
      </c>
      <c r="AZ17" s="66">
        <v>8.1999999999999993</v>
      </c>
      <c r="BA17" s="67"/>
      <c r="BB17" s="66"/>
      <c r="BC17" s="68">
        <f t="shared" si="11"/>
        <v>8.1999999999999993</v>
      </c>
      <c r="BD17" s="198">
        <v>7.2</v>
      </c>
      <c r="BE17" s="67"/>
      <c r="BF17" s="66"/>
      <c r="BG17" s="68">
        <f t="shared" si="12"/>
        <v>7.2</v>
      </c>
      <c r="BH17" s="66">
        <v>8</v>
      </c>
      <c r="BI17" s="67"/>
      <c r="BJ17" s="66"/>
      <c r="BK17" s="68">
        <f t="shared" si="13"/>
        <v>8</v>
      </c>
      <c r="BL17" s="66">
        <v>9</v>
      </c>
      <c r="BM17" s="67"/>
      <c r="BN17" s="66"/>
      <c r="BO17" s="68">
        <f t="shared" si="14"/>
        <v>9</v>
      </c>
      <c r="BP17" s="66">
        <v>7.3</v>
      </c>
      <c r="BQ17" s="67"/>
      <c r="BR17" s="66"/>
      <c r="BS17" s="68">
        <f t="shared" si="15"/>
        <v>7.3</v>
      </c>
      <c r="BT17" s="66">
        <v>8.6</v>
      </c>
      <c r="BU17" s="67"/>
      <c r="BV17" s="66"/>
      <c r="BW17" s="68">
        <f t="shared" si="16"/>
        <v>8.6</v>
      </c>
      <c r="BX17" s="198">
        <v>7.7</v>
      </c>
      <c r="BY17" s="67"/>
      <c r="BZ17" s="66"/>
      <c r="CA17" s="68">
        <f t="shared" si="17"/>
        <v>7.7</v>
      </c>
      <c r="CB17" s="66">
        <v>8.3000000000000007</v>
      </c>
      <c r="CC17" s="67"/>
      <c r="CD17" s="66"/>
      <c r="CE17" s="68">
        <f t="shared" si="18"/>
        <v>8.3000000000000007</v>
      </c>
      <c r="CF17" s="198">
        <v>7.1</v>
      </c>
      <c r="CG17" s="67"/>
      <c r="CH17" s="66"/>
      <c r="CI17" s="68">
        <f t="shared" si="19"/>
        <v>7.1</v>
      </c>
      <c r="CJ17" s="120">
        <f t="shared" si="20"/>
        <v>48</v>
      </c>
      <c r="CK17" s="205">
        <f t="shared" si="21"/>
        <v>7.76</v>
      </c>
    </row>
    <row r="18" spans="1:89" s="102" customFormat="1" ht="18" customHeight="1">
      <c r="A18" s="186">
        <f t="shared" si="22"/>
        <v>13</v>
      </c>
      <c r="B18" s="181">
        <v>25311106131</v>
      </c>
      <c r="C18" s="182" t="s">
        <v>195</v>
      </c>
      <c r="D18" s="183" t="s">
        <v>196</v>
      </c>
      <c r="E18" s="184" t="s">
        <v>166</v>
      </c>
      <c r="F18" s="185" t="s">
        <v>197</v>
      </c>
      <c r="G18" s="160" t="s">
        <v>198</v>
      </c>
      <c r="H18" s="66">
        <v>7.4</v>
      </c>
      <c r="I18" s="67"/>
      <c r="J18" s="66"/>
      <c r="K18" s="68">
        <f t="shared" si="0"/>
        <v>7.4</v>
      </c>
      <c r="L18" s="66">
        <v>7.9</v>
      </c>
      <c r="M18" s="67"/>
      <c r="N18" s="66"/>
      <c r="O18" s="68">
        <f t="shared" si="1"/>
        <v>7.9</v>
      </c>
      <c r="P18" s="66">
        <v>8.4</v>
      </c>
      <c r="Q18" s="67"/>
      <c r="R18" s="66"/>
      <c r="S18" s="68">
        <f t="shared" si="2"/>
        <v>8.4</v>
      </c>
      <c r="T18" s="66">
        <v>8.6</v>
      </c>
      <c r="U18" s="67"/>
      <c r="V18" s="66"/>
      <c r="W18" s="68">
        <f t="shared" si="3"/>
        <v>8.6</v>
      </c>
      <c r="X18" s="66">
        <v>8.1999999999999993</v>
      </c>
      <c r="Y18" s="67"/>
      <c r="Z18" s="66"/>
      <c r="AA18" s="68">
        <f t="shared" si="4"/>
        <v>8.1999999999999993</v>
      </c>
      <c r="AB18" s="66">
        <v>8.4</v>
      </c>
      <c r="AC18" s="67"/>
      <c r="AD18" s="66"/>
      <c r="AE18" s="68">
        <f t="shared" si="5"/>
        <v>8.4</v>
      </c>
      <c r="AF18" s="66">
        <v>9</v>
      </c>
      <c r="AG18" s="67"/>
      <c r="AH18" s="66"/>
      <c r="AI18" s="68">
        <f t="shared" si="6"/>
        <v>9</v>
      </c>
      <c r="AJ18" s="198">
        <v>8</v>
      </c>
      <c r="AK18" s="67"/>
      <c r="AL18" s="66"/>
      <c r="AM18" s="68">
        <f t="shared" si="7"/>
        <v>8</v>
      </c>
      <c r="AN18" s="66">
        <v>7.5</v>
      </c>
      <c r="AO18" s="67"/>
      <c r="AP18" s="66"/>
      <c r="AQ18" s="68">
        <f t="shared" si="8"/>
        <v>7.5</v>
      </c>
      <c r="AR18" s="66">
        <v>6.9</v>
      </c>
      <c r="AS18" s="67"/>
      <c r="AT18" s="66"/>
      <c r="AU18" s="68">
        <f t="shared" si="9"/>
        <v>6.9</v>
      </c>
      <c r="AV18" s="66">
        <v>8.6</v>
      </c>
      <c r="AW18" s="67"/>
      <c r="AX18" s="66"/>
      <c r="AY18" s="68">
        <f t="shared" si="10"/>
        <v>8.6</v>
      </c>
      <c r="AZ18" s="66">
        <v>8.1999999999999993</v>
      </c>
      <c r="BA18" s="67"/>
      <c r="BB18" s="66"/>
      <c r="BC18" s="68">
        <f t="shared" si="11"/>
        <v>8.1999999999999993</v>
      </c>
      <c r="BD18" s="198">
        <v>7.3</v>
      </c>
      <c r="BE18" s="67"/>
      <c r="BF18" s="66"/>
      <c r="BG18" s="68">
        <f t="shared" si="12"/>
        <v>7.3</v>
      </c>
      <c r="BH18" s="66">
        <v>8.6999999999999993</v>
      </c>
      <c r="BI18" s="67"/>
      <c r="BJ18" s="66"/>
      <c r="BK18" s="68">
        <f t="shared" si="13"/>
        <v>8.6999999999999993</v>
      </c>
      <c r="BL18" s="66">
        <v>9</v>
      </c>
      <c r="BM18" s="67"/>
      <c r="BN18" s="66"/>
      <c r="BO18" s="68">
        <f t="shared" si="14"/>
        <v>9</v>
      </c>
      <c r="BP18" s="66">
        <v>7</v>
      </c>
      <c r="BQ18" s="67"/>
      <c r="BR18" s="66"/>
      <c r="BS18" s="68">
        <f t="shared" si="15"/>
        <v>7</v>
      </c>
      <c r="BT18" s="66">
        <v>9</v>
      </c>
      <c r="BU18" s="67"/>
      <c r="BV18" s="66"/>
      <c r="BW18" s="68">
        <f t="shared" si="16"/>
        <v>9</v>
      </c>
      <c r="BX18" s="198">
        <v>8.1999999999999993</v>
      </c>
      <c r="BY18" s="67"/>
      <c r="BZ18" s="66"/>
      <c r="CA18" s="68">
        <f t="shared" si="17"/>
        <v>8.1999999999999993</v>
      </c>
      <c r="CB18" s="66">
        <v>8.6999999999999993</v>
      </c>
      <c r="CC18" s="67"/>
      <c r="CD18" s="66"/>
      <c r="CE18" s="68">
        <f t="shared" si="18"/>
        <v>8.6999999999999993</v>
      </c>
      <c r="CF18" s="198">
        <v>7</v>
      </c>
      <c r="CG18" s="67"/>
      <c r="CH18" s="66"/>
      <c r="CI18" s="68">
        <f t="shared" si="19"/>
        <v>7</v>
      </c>
      <c r="CJ18" s="120">
        <f t="shared" si="20"/>
        <v>54</v>
      </c>
      <c r="CK18" s="205">
        <f t="shared" si="21"/>
        <v>8.1300000000000008</v>
      </c>
    </row>
  </sheetData>
  <mergeCells count="7"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H6:CI18">
    <cfRule type="cellIs" dxfId="14" priority="79" stopIfTrue="1" operator="lessThan">
      <formula>4</formula>
    </cfRule>
  </conditionalFormatting>
  <conditionalFormatting sqref="CA6:CA18 CE6:CE18 CI6:CI18 BW6:BW18 BS6:BS18 BO6:BO18 BK6:BK18 BC6:BC18 AY6:AY18 AU6:AU18 AQ6:AQ18 AM6:AM18 AI6:AI18 AE6:AE18 AA6:AA18 BG6:BG18 K6:K18 O6:O18 S6:S18 W6:W18">
    <cfRule type="cellIs" dxfId="13" priority="76" stopIfTrue="1" operator="lessThan">
      <formula>4</formula>
    </cfRule>
  </conditionalFormatting>
  <conditionalFormatting sqref="G6:G18">
    <cfRule type="cellIs" dxfId="8" priority="12" stopIfTrue="1" operator="equal">
      <formula>0</formula>
    </cfRule>
  </conditionalFormatting>
  <conditionalFormatting sqref="G6:G18">
    <cfRule type="cellIs" dxfId="7" priority="10" stopIfTrue="1" operator="equal">
      <formula>"RÚT HP"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7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E24" sqref="E24"/>
    </sheetView>
  </sheetViews>
  <sheetFormatPr defaultRowHeight="21" customHeight="1"/>
  <cols>
    <col min="1" max="1" width="4.42578125" style="16" bestFit="1" customWidth="1"/>
    <col min="2" max="2" width="11" style="17" customWidth="1"/>
    <col min="3" max="3" width="19.140625" style="18" customWidth="1"/>
    <col min="4" max="4" width="8" style="19" customWidth="1"/>
    <col min="5" max="5" width="10.5703125" style="20" customWidth="1"/>
    <col min="6" max="6" width="12.140625" style="16" customWidth="1"/>
    <col min="7" max="7" width="96" style="18" customWidth="1"/>
    <col min="8" max="8" width="21.85546875" style="18" customWidth="1"/>
    <col min="9" max="9" width="22" style="18" customWidth="1"/>
    <col min="10" max="10" width="24" style="18" customWidth="1"/>
    <col min="11" max="11" width="22.42578125" style="18" bestFit="1" customWidth="1"/>
    <col min="12" max="12" width="19.85546875" style="18" bestFit="1" customWidth="1"/>
    <col min="13" max="13" width="16.5703125" style="18" customWidth="1"/>
    <col min="14" max="14" width="13" style="18" customWidth="1"/>
    <col min="15" max="16384" width="9.140625" style="18"/>
  </cols>
  <sheetData>
    <row r="1" spans="1:13" s="73" customFormat="1" ht="15" customHeight="1">
      <c r="A1" s="71"/>
      <c r="B1" s="72">
        <v>1</v>
      </c>
      <c r="C1" s="72">
        <v>2</v>
      </c>
      <c r="D1" s="72">
        <v>3</v>
      </c>
      <c r="E1" s="72">
        <v>4</v>
      </c>
      <c r="F1" s="72">
        <v>5</v>
      </c>
      <c r="G1" s="72">
        <v>6</v>
      </c>
      <c r="H1" s="72">
        <v>7</v>
      </c>
      <c r="I1" s="72">
        <v>8</v>
      </c>
      <c r="J1" s="72">
        <v>9</v>
      </c>
      <c r="K1" s="72">
        <v>10</v>
      </c>
      <c r="L1" s="72">
        <v>11</v>
      </c>
      <c r="M1" s="72">
        <v>12</v>
      </c>
    </row>
    <row r="2" spans="1:13" s="74" customFormat="1" ht="25.5" customHeight="1">
      <c r="A2" s="312" t="s">
        <v>0</v>
      </c>
      <c r="B2" s="314" t="s">
        <v>7</v>
      </c>
      <c r="C2" s="316" t="s">
        <v>1</v>
      </c>
      <c r="D2" s="318" t="s">
        <v>2</v>
      </c>
      <c r="E2" s="320" t="s">
        <v>3</v>
      </c>
      <c r="F2" s="320" t="s">
        <v>17</v>
      </c>
      <c r="G2" s="310" t="s">
        <v>19</v>
      </c>
      <c r="H2" s="310" t="s">
        <v>20</v>
      </c>
      <c r="I2" s="310"/>
      <c r="J2" s="310"/>
      <c r="K2" s="310"/>
      <c r="L2" s="310"/>
      <c r="M2" s="310"/>
    </row>
    <row r="3" spans="1:13" s="74" customFormat="1" ht="21" customHeight="1">
      <c r="A3" s="313"/>
      <c r="B3" s="315"/>
      <c r="C3" s="317"/>
      <c r="D3" s="319"/>
      <c r="E3" s="321"/>
      <c r="F3" s="321"/>
      <c r="G3" s="311"/>
      <c r="H3" s="75" t="s">
        <v>21</v>
      </c>
      <c r="I3" s="75" t="s">
        <v>23</v>
      </c>
      <c r="J3" s="89" t="s">
        <v>24</v>
      </c>
      <c r="K3" s="75" t="s">
        <v>36</v>
      </c>
      <c r="L3" s="75" t="s">
        <v>22</v>
      </c>
      <c r="M3" s="75" t="s">
        <v>34</v>
      </c>
    </row>
    <row r="4" spans="1:13" s="74" customFormat="1" ht="18" customHeight="1">
      <c r="A4" s="76">
        <v>1</v>
      </c>
      <c r="B4" s="36">
        <v>25311106118</v>
      </c>
      <c r="C4" s="77" t="str">
        <f>VLOOKUP($B4,K20MCS!$B$6:$G$15,2,0)</f>
        <v>Nguyễn Văn</v>
      </c>
      <c r="D4" s="78" t="str">
        <f>VLOOKUP($B4,K20MCS!$B$6:$G$15,3,0)</f>
        <v>Bổn</v>
      </c>
      <c r="E4" s="79" t="str">
        <f>VLOOKUP($B4,K20MCS!$B$6:$G$15,4,0)</f>
        <v>Nam</v>
      </c>
      <c r="F4" s="80">
        <f>VLOOKUP($B4,K20MCS!$B$6:$G$15,5,0)</f>
        <v>27383</v>
      </c>
      <c r="G4" s="81"/>
      <c r="H4" s="82"/>
      <c r="I4" s="81"/>
      <c r="J4" s="90"/>
      <c r="K4" s="83"/>
      <c r="L4" s="81"/>
      <c r="M4" s="84"/>
    </row>
    <row r="5" spans="1:13" s="74" customFormat="1" ht="18" customHeight="1">
      <c r="A5" s="76">
        <v>2</v>
      </c>
      <c r="B5" s="36">
        <v>25311106119</v>
      </c>
      <c r="C5" s="77" t="str">
        <f>VLOOKUP($B5,K20MCS!$B$6:$G$15,2,0)</f>
        <v>Lê Thanh</v>
      </c>
      <c r="D5" s="78" t="str">
        <f>VLOOKUP($B5,K20MCS!$B$6:$G$15,3,0)</f>
        <v>Hiệu</v>
      </c>
      <c r="E5" s="79" t="str">
        <f>VLOOKUP($B5,K20MCS!$B$6:$G$15,4,0)</f>
        <v>Nam</v>
      </c>
      <c r="F5" s="80">
        <f>VLOOKUP($B5,K20MCS!$B$6:$G$15,5,0)</f>
        <v>30624</v>
      </c>
      <c r="G5" s="85"/>
      <c r="H5" s="86"/>
      <c r="I5" s="85"/>
      <c r="J5" s="91"/>
      <c r="K5" s="87"/>
      <c r="L5" s="85"/>
      <c r="M5" s="88"/>
    </row>
    <row r="6" spans="1:13" s="74" customFormat="1" ht="18" customHeight="1">
      <c r="A6" s="76">
        <v>3</v>
      </c>
      <c r="B6" s="36">
        <v>25311106120</v>
      </c>
      <c r="C6" s="77" t="str">
        <f>VLOOKUP($B6,K20MCS!$B$6:$G$15,2,0)</f>
        <v>Nguyễn</v>
      </c>
      <c r="D6" s="78" t="str">
        <f>VLOOKUP($B6,K20MCS!$B$6:$G$15,3,0)</f>
        <v>Lào</v>
      </c>
      <c r="E6" s="79" t="str">
        <f>VLOOKUP($B6,K20MCS!$B$6:$G$15,4,0)</f>
        <v>Nam</v>
      </c>
      <c r="F6" s="80">
        <f>VLOOKUP($B6,K20MCS!$B$6:$G$15,5,0)</f>
        <v>28773</v>
      </c>
      <c r="G6" s="85"/>
      <c r="H6" s="86"/>
      <c r="I6" s="85"/>
      <c r="J6" s="87"/>
      <c r="K6" s="85"/>
      <c r="L6" s="87"/>
      <c r="M6" s="97"/>
    </row>
    <row r="7" spans="1:13" s="74" customFormat="1" ht="18" customHeight="1">
      <c r="A7" s="76">
        <v>4</v>
      </c>
      <c r="B7" s="36">
        <v>25311106121</v>
      </c>
      <c r="C7" s="77" t="str">
        <f>VLOOKUP($B7,K20MCS!$B$6:$G$15,2,0)</f>
        <v>Trương Ngọc</v>
      </c>
      <c r="D7" s="78" t="str">
        <f>VLOOKUP($B7,K20MCS!$B$6:$G$15,3,0)</f>
        <v>Minh</v>
      </c>
      <c r="E7" s="79" t="str">
        <f>VLOOKUP($B7,K20MCS!$B$6:$G$15,4,0)</f>
        <v>Nam</v>
      </c>
      <c r="F7" s="80">
        <f>VLOOKUP($B7,K20MCS!$B$6:$G$15,5,0)</f>
        <v>34618</v>
      </c>
      <c r="G7" s="85"/>
      <c r="H7" s="85"/>
      <c r="I7" s="85"/>
      <c r="J7" s="87"/>
      <c r="K7" s="85"/>
      <c r="L7" s="87"/>
      <c r="M7" s="97"/>
    </row>
    <row r="8" spans="1:13" s="74" customFormat="1" ht="18" customHeight="1">
      <c r="A8" s="76">
        <v>5</v>
      </c>
      <c r="B8" s="36">
        <v>25301106122</v>
      </c>
      <c r="C8" s="77" t="str">
        <f>VLOOKUP($B8,K20MCS!$B$6:$G$15,2,0)</f>
        <v>Nguyễn Thị Yến</v>
      </c>
      <c r="D8" s="78" t="str">
        <f>VLOOKUP($B8,K20MCS!$B$6:$G$15,3,0)</f>
        <v>Nga</v>
      </c>
      <c r="E8" s="79" t="str">
        <f>VLOOKUP($B8,K20MCS!$B$6:$G$15,4,0)</f>
        <v>Nữ</v>
      </c>
      <c r="F8" s="80" t="str">
        <f>VLOOKUP($B8,K20MCS!$B$6:$G$15,5,0)</f>
        <v>20/11/1986</v>
      </c>
      <c r="G8" s="85"/>
      <c r="H8" s="86"/>
      <c r="I8" s="85"/>
      <c r="J8" s="87"/>
      <c r="K8" s="85"/>
      <c r="L8" s="87"/>
      <c r="M8" s="97"/>
    </row>
    <row r="9" spans="1:13" s="74" customFormat="1" ht="18" customHeight="1">
      <c r="A9" s="76">
        <v>6</v>
      </c>
      <c r="B9" s="36">
        <v>25301106123</v>
      </c>
      <c r="C9" s="77" t="str">
        <f>VLOOKUP($B9,K20MCS!$B$6:$G$15,2,0)</f>
        <v>Phạm Thị Mỹ</v>
      </c>
      <c r="D9" s="78" t="str">
        <f>VLOOKUP($B9,K20MCS!$B$6:$G$15,3,0)</f>
        <v>Sen</v>
      </c>
      <c r="E9" s="79" t="str">
        <f>VLOOKUP($B9,K20MCS!$B$6:$G$15,4,0)</f>
        <v>Nữ</v>
      </c>
      <c r="F9" s="80">
        <f>VLOOKUP($B9,K20MCS!$B$6:$G$15,5,0)</f>
        <v>29224</v>
      </c>
      <c r="G9" s="85"/>
      <c r="H9" s="86"/>
      <c r="I9" s="85"/>
      <c r="J9" s="87"/>
      <c r="K9" s="85"/>
      <c r="L9" s="87"/>
      <c r="M9" s="97"/>
    </row>
    <row r="10" spans="1:13" s="74" customFormat="1" ht="18" customHeight="1">
      <c r="A10" s="76">
        <v>7</v>
      </c>
      <c r="B10" s="36">
        <v>25311106124</v>
      </c>
      <c r="C10" s="77" t="str">
        <f>VLOOKUP($B10,K20MCS!$B$6:$G$15,2,0)</f>
        <v>Trần Thanh</v>
      </c>
      <c r="D10" s="78" t="str">
        <f>VLOOKUP($B10,K20MCS!$B$6:$G$15,3,0)</f>
        <v>Sơn</v>
      </c>
      <c r="E10" s="79" t="str">
        <f>VLOOKUP($B10,K20MCS!$B$6:$G$15,4,0)</f>
        <v>Nam</v>
      </c>
      <c r="F10" s="80">
        <f>VLOOKUP($B10,K20MCS!$B$6:$G$15,5,0)</f>
        <v>29906</v>
      </c>
      <c r="G10" s="85"/>
      <c r="H10" s="86"/>
      <c r="I10" s="85"/>
      <c r="J10" s="91"/>
      <c r="K10" s="87"/>
      <c r="L10" s="85"/>
      <c r="M10" s="88"/>
    </row>
    <row r="11" spans="1:13" s="74" customFormat="1" ht="18" customHeight="1">
      <c r="A11" s="76">
        <v>8</v>
      </c>
      <c r="B11" s="36">
        <v>25311106125</v>
      </c>
      <c r="C11" s="77" t="str">
        <f>VLOOKUP($B11,K20MCS!$B$6:$G$15,2,0)</f>
        <v>Trần Anh</v>
      </c>
      <c r="D11" s="78" t="str">
        <f>VLOOKUP($B11,K20MCS!$B$6:$G$15,3,0)</f>
        <v>Tín</v>
      </c>
      <c r="E11" s="79" t="str">
        <f>VLOOKUP($B11,K20MCS!$B$6:$G$15,4,0)</f>
        <v>Nam</v>
      </c>
      <c r="F11" s="80">
        <f>VLOOKUP($B11,K20MCS!$B$6:$G$15,5,0)</f>
        <v>29351</v>
      </c>
      <c r="G11" s="85"/>
      <c r="H11" s="86"/>
      <c r="I11" s="85"/>
      <c r="J11" s="87"/>
      <c r="K11" s="85"/>
      <c r="L11" s="87"/>
      <c r="M11" s="97"/>
    </row>
    <row r="12" spans="1:13" s="74" customFormat="1" ht="18" customHeight="1">
      <c r="A12" s="76">
        <v>9</v>
      </c>
      <c r="B12" s="36">
        <v>25311106126</v>
      </c>
      <c r="C12" s="77" t="str">
        <f>VLOOKUP($B12,K20MCS!$B$6:$G$15,2,0)</f>
        <v>Trịnh Minh</v>
      </c>
      <c r="D12" s="78" t="str">
        <f>VLOOKUP($B12,K20MCS!$B$6:$G$15,3,0)</f>
        <v>Tuấn</v>
      </c>
      <c r="E12" s="79" t="str">
        <f>VLOOKUP($B12,K20MCS!$B$6:$G$15,4,0)</f>
        <v>Nam</v>
      </c>
      <c r="F12" s="80" t="str">
        <f>VLOOKUP($B12,K20MCS!$B$6:$G$15,5,0)</f>
        <v>09/12/1994</v>
      </c>
      <c r="G12" s="85"/>
      <c r="H12" s="86"/>
      <c r="I12" s="85"/>
      <c r="J12" s="91"/>
      <c r="K12" s="87"/>
      <c r="L12" s="85"/>
      <c r="M12" s="88"/>
    </row>
    <row r="13" spans="1:13" s="74" customFormat="1" ht="18" customHeight="1">
      <c r="A13" s="76">
        <v>10</v>
      </c>
      <c r="B13" s="36">
        <v>25311106127</v>
      </c>
      <c r="C13" s="77" t="str">
        <f>VLOOKUP($B13,K20MCS!$B$6:$G$15,2,0)</f>
        <v>Nguyễn Thanh</v>
      </c>
      <c r="D13" s="78" t="str">
        <f>VLOOKUP($B13,K20MCS!$B$6:$G$15,3,0)</f>
        <v>Thanh</v>
      </c>
      <c r="E13" s="79" t="str">
        <f>VLOOKUP($B13,K20MCS!$B$6:$G$15,4,0)</f>
        <v>Nam</v>
      </c>
      <c r="F13" s="80" t="str">
        <f>VLOOKUP($B13,K20MCS!$B$6:$G$15,5,0)</f>
        <v>08/11/1992</v>
      </c>
      <c r="G13" s="85"/>
      <c r="H13" s="86"/>
      <c r="I13" s="85"/>
      <c r="J13" s="87"/>
      <c r="K13" s="85"/>
      <c r="L13" s="87"/>
      <c r="M13" s="97"/>
    </row>
    <row r="14" spans="1:13" s="74" customFormat="1" ht="18" customHeight="1">
      <c r="A14" s="76">
        <v>11</v>
      </c>
      <c r="B14" s="36">
        <v>25311106129</v>
      </c>
      <c r="C14" s="77" t="str">
        <f>VLOOKUP($B14,K20MCS!$B$6:$G$18,2,0)</f>
        <v>Hà Lê</v>
      </c>
      <c r="D14" s="78" t="str">
        <f>VLOOKUP($B14,K20MCS!$B$6:$G$18,3,0)</f>
        <v>Trung</v>
      </c>
      <c r="E14" s="79" t="str">
        <f>VLOOKUP($B14,K20MCS!$B$6:$G$18,4,0)</f>
        <v>Nam</v>
      </c>
      <c r="F14" s="80">
        <f>VLOOKUP($B14,K20MCS!$B$6:$G$18,5,0)</f>
        <v>31056</v>
      </c>
      <c r="G14" s="85"/>
      <c r="H14" s="86"/>
      <c r="I14" s="85"/>
      <c r="J14" s="91"/>
      <c r="K14" s="87"/>
      <c r="L14" s="85"/>
      <c r="M14" s="88"/>
    </row>
    <row r="15" spans="1:13" s="74" customFormat="1" ht="18" customHeight="1">
      <c r="A15" s="76">
        <v>12</v>
      </c>
      <c r="B15" s="36">
        <v>25301106130</v>
      </c>
      <c r="C15" s="77" t="str">
        <f>VLOOKUP($B15,K20MCS!$B$6:$G$18,2,0)</f>
        <v>Ngô Ái</v>
      </c>
      <c r="D15" s="78" t="str">
        <f>VLOOKUP($B15,K20MCS!$B$6:$G$18,3,0)</f>
        <v>Vân</v>
      </c>
      <c r="E15" s="79" t="str">
        <f>VLOOKUP($B15,K20MCS!$B$6:$G$18,4,0)</f>
        <v>Nữ</v>
      </c>
      <c r="F15" s="80" t="str">
        <f>VLOOKUP($B15,K20MCS!$B$6:$G$18,5,0)</f>
        <v>18/10/1979</v>
      </c>
      <c r="G15" s="85"/>
      <c r="H15" s="86"/>
      <c r="I15" s="85"/>
      <c r="J15" s="91"/>
      <c r="K15" s="87"/>
      <c r="L15" s="85"/>
      <c r="M15" s="88"/>
    </row>
    <row r="16" spans="1:13" s="74" customFormat="1" ht="18.75" customHeight="1">
      <c r="A16" s="76">
        <v>13</v>
      </c>
      <c r="B16" s="36">
        <v>25311106131</v>
      </c>
      <c r="C16" s="77" t="str">
        <f>VLOOKUP($B16,K20MCS!$B$6:$G$18,2,0)</f>
        <v>Phạm Hồng</v>
      </c>
      <c r="D16" s="78" t="str">
        <f>VLOOKUP($B16,K20MCS!$B$6:$G$18,3,0)</f>
        <v>Vũ</v>
      </c>
      <c r="E16" s="79" t="str">
        <f>VLOOKUP($B16,K20MCS!$B$6:$G$18,4,0)</f>
        <v>Nam</v>
      </c>
      <c r="F16" s="80" t="str">
        <f>VLOOKUP($B16,K20MCS!$B$6:$G$18,5,0)</f>
        <v>17/12/1978</v>
      </c>
      <c r="G16" s="85"/>
      <c r="H16" s="85"/>
      <c r="I16" s="85"/>
      <c r="J16" s="87"/>
      <c r="K16" s="85"/>
      <c r="L16" s="87"/>
      <c r="M16" s="97"/>
    </row>
    <row r="17" spans="1:13" s="96" customFormat="1" ht="18" customHeight="1">
      <c r="A17" s="93">
        <v>14</v>
      </c>
      <c r="B17" s="37"/>
      <c r="C17" s="77" t="e">
        <f>VLOOKUP($B17,K20MCS!$B$6:$G$15,2,0)</f>
        <v>#N/A</v>
      </c>
      <c r="D17" s="78" t="e">
        <f>VLOOKUP($B17,K20MCS!$B$6:$G$15,3,0)</f>
        <v>#N/A</v>
      </c>
      <c r="E17" s="79" t="e">
        <f>VLOOKUP($B17,K20MCS!$B$6:$G$15,4,0)</f>
        <v>#N/A</v>
      </c>
      <c r="F17" s="80" t="e">
        <f>VLOOKUP($B17,K20MCS!$B$6:$G$15,5,0)</f>
        <v>#N/A</v>
      </c>
      <c r="G17" s="92"/>
      <c r="H17" s="94"/>
      <c r="I17" s="92"/>
      <c r="J17" s="100"/>
      <c r="K17" s="95"/>
      <c r="L17" s="92"/>
      <c r="M17" s="101"/>
    </row>
  </sheetData>
  <mergeCells count="8">
    <mergeCell ref="G2:G3"/>
    <mergeCell ref="H2:M2"/>
    <mergeCell ref="A2:A3"/>
    <mergeCell ref="B2:B3"/>
    <mergeCell ref="C2:C3"/>
    <mergeCell ref="D2:D3"/>
    <mergeCell ref="E2:E3"/>
    <mergeCell ref="F2:F3"/>
  </mergeCells>
  <pageMargins left="0.25" right="0" top="1" bottom="1" header="0.5" footer="0.5"/>
  <pageSetup scale="6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9"/>
  <sheetViews>
    <sheetView topLeftCell="A9" zoomScale="130" zoomScaleNormal="130" workbookViewId="0">
      <selection activeCell="G10" sqref="G10"/>
    </sheetView>
  </sheetViews>
  <sheetFormatPr defaultRowHeight="12.75"/>
  <cols>
    <col min="1" max="1" width="3.7109375" style="159" customWidth="1"/>
    <col min="2" max="2" width="12.28515625" style="159" customWidth="1"/>
    <col min="3" max="3" width="13.140625" style="159" customWidth="1"/>
    <col min="4" max="4" width="6.42578125" style="159" customWidth="1"/>
    <col min="5" max="5" width="9.42578125" style="159" customWidth="1"/>
    <col min="6" max="6" width="9.28515625" style="159" customWidth="1"/>
    <col min="7" max="28" width="3.28515625" style="159" customWidth="1"/>
    <col min="29" max="29" width="5.28515625" style="159" customWidth="1"/>
    <col min="30" max="31" width="4.7109375" style="159" customWidth="1"/>
    <col min="32" max="32" width="6" style="159" customWidth="1"/>
    <col min="33" max="33" width="4.7109375" style="159" customWidth="1"/>
    <col min="34" max="34" width="12.42578125" style="159" customWidth="1"/>
    <col min="35" max="35" width="9.85546875" style="159" bestFit="1" customWidth="1"/>
    <col min="36" max="16384" width="9.140625" style="159"/>
  </cols>
  <sheetData>
    <row r="1" spans="1:36">
      <c r="B1" s="339" t="s">
        <v>9</v>
      </c>
      <c r="C1" s="339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</row>
    <row r="2" spans="1:36">
      <c r="B2" s="341" t="s">
        <v>10</v>
      </c>
      <c r="C2" s="341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</row>
    <row r="3" spans="1:36" ht="14.25">
      <c r="A3" s="342" t="s">
        <v>202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</row>
    <row r="4" spans="1:36" ht="17.25" customHeight="1">
      <c r="A4" s="338" t="s">
        <v>223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J4" s="210" t="s">
        <v>163</v>
      </c>
    </row>
    <row r="5" spans="1:36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J5" s="210"/>
    </row>
    <row r="6" spans="1:36" hidden="1">
      <c r="A6" s="211"/>
      <c r="B6" s="211"/>
      <c r="C6" s="211"/>
      <c r="D6" s="211"/>
      <c r="E6" s="211"/>
      <c r="F6" s="211"/>
      <c r="G6" s="212">
        <v>1</v>
      </c>
      <c r="H6" s="212">
        <v>1</v>
      </c>
      <c r="I6" s="212">
        <v>1</v>
      </c>
      <c r="J6" s="212">
        <v>1</v>
      </c>
      <c r="K6" s="212">
        <v>1</v>
      </c>
      <c r="L6" s="212">
        <v>1</v>
      </c>
      <c r="M6" s="212">
        <v>1</v>
      </c>
      <c r="N6" s="212">
        <v>1</v>
      </c>
      <c r="O6" s="212">
        <v>1</v>
      </c>
      <c r="P6" s="212">
        <v>1</v>
      </c>
      <c r="Q6" s="212">
        <v>1</v>
      </c>
      <c r="R6" s="212">
        <v>1</v>
      </c>
      <c r="S6" s="212">
        <v>1</v>
      </c>
      <c r="T6" s="212">
        <v>1</v>
      </c>
      <c r="U6" s="212">
        <v>1</v>
      </c>
      <c r="V6" s="212">
        <v>1</v>
      </c>
      <c r="W6" s="212">
        <v>1</v>
      </c>
      <c r="X6" s="212">
        <v>1</v>
      </c>
      <c r="Y6" s="212">
        <v>1</v>
      </c>
      <c r="Z6" s="212">
        <v>1</v>
      </c>
      <c r="AA6" s="213"/>
      <c r="AB6" s="213"/>
      <c r="AC6" s="211">
        <f>SUM(G6:Z6)</f>
        <v>20</v>
      </c>
      <c r="AD6" s="211"/>
      <c r="AE6" s="211"/>
      <c r="AF6" s="211"/>
      <c r="AG6" s="211"/>
    </row>
    <row r="7" spans="1:36" hidden="1">
      <c r="A7" s="211"/>
      <c r="B7" s="211"/>
      <c r="C7" s="211"/>
      <c r="D7" s="211"/>
      <c r="E7" s="211"/>
      <c r="F7" s="211"/>
      <c r="G7" s="212">
        <f ca="1">G10</f>
        <v>3</v>
      </c>
      <c r="H7" s="212">
        <f t="shared" ref="H7:M7" ca="1" si="0">H10</f>
        <v>3</v>
      </c>
      <c r="I7" s="212">
        <f t="shared" ca="1" si="0"/>
        <v>3</v>
      </c>
      <c r="J7" s="212">
        <f t="shared" ca="1" si="0"/>
        <v>3</v>
      </c>
      <c r="K7" s="212">
        <f t="shared" ca="1" si="0"/>
        <v>2</v>
      </c>
      <c r="L7" s="212">
        <f t="shared" ca="1" si="0"/>
        <v>2</v>
      </c>
      <c r="M7" s="212">
        <f t="shared" ca="1" si="0"/>
        <v>3</v>
      </c>
      <c r="N7" s="212">
        <f ca="1">N10</f>
        <v>2</v>
      </c>
      <c r="O7" s="212">
        <f t="shared" ref="O7:Z7" ca="1" si="1">O10</f>
        <v>3</v>
      </c>
      <c r="P7" s="212">
        <f t="shared" ca="1" si="1"/>
        <v>3</v>
      </c>
      <c r="Q7" s="212">
        <f t="shared" ca="1" si="1"/>
        <v>3</v>
      </c>
      <c r="R7" s="212">
        <f t="shared" ca="1" si="1"/>
        <v>2</v>
      </c>
      <c r="S7" s="212">
        <f t="shared" ca="1" si="1"/>
        <v>3</v>
      </c>
      <c r="T7" s="212">
        <f t="shared" ca="1" si="1"/>
        <v>3</v>
      </c>
      <c r="U7" s="212">
        <f t="shared" ca="1" si="1"/>
        <v>3</v>
      </c>
      <c r="V7" s="212">
        <f t="shared" ca="1" si="1"/>
        <v>2</v>
      </c>
      <c r="W7" s="212">
        <f t="shared" ca="1" si="1"/>
        <v>3</v>
      </c>
      <c r="X7" s="212">
        <f t="shared" ca="1" si="1"/>
        <v>3</v>
      </c>
      <c r="Y7" s="212">
        <f t="shared" ca="1" si="1"/>
        <v>3</v>
      </c>
      <c r="Z7" s="212">
        <f t="shared" ca="1" si="1"/>
        <v>2</v>
      </c>
      <c r="AA7" s="213"/>
      <c r="AB7" s="213"/>
      <c r="AC7" s="211">
        <f ca="1">SUM(G7:Z7)</f>
        <v>54</v>
      </c>
      <c r="AD7" s="211"/>
      <c r="AE7" s="211"/>
      <c r="AF7" s="211"/>
      <c r="AG7" s="211"/>
    </row>
    <row r="8" spans="1:36" ht="36.75" hidden="1">
      <c r="A8" s="211"/>
      <c r="B8" s="211"/>
      <c r="C8" s="211"/>
      <c r="D8" s="211"/>
      <c r="E8" s="211"/>
      <c r="F8" s="211"/>
      <c r="G8" s="214" t="s">
        <v>162</v>
      </c>
      <c r="H8" s="214" t="s">
        <v>57</v>
      </c>
      <c r="I8" s="214" t="s">
        <v>59</v>
      </c>
      <c r="J8" s="214" t="s">
        <v>203</v>
      </c>
      <c r="K8" s="214" t="s">
        <v>61</v>
      </c>
      <c r="L8" s="214" t="s">
        <v>135</v>
      </c>
      <c r="M8" s="214" t="s">
        <v>137</v>
      </c>
      <c r="N8" s="214" t="s">
        <v>139</v>
      </c>
      <c r="O8" s="214" t="s">
        <v>140</v>
      </c>
      <c r="P8" s="214" t="s">
        <v>136</v>
      </c>
      <c r="Q8" s="214" t="s">
        <v>143</v>
      </c>
      <c r="R8" s="214" t="s">
        <v>134</v>
      </c>
      <c r="S8" s="214" t="s">
        <v>145</v>
      </c>
      <c r="T8" s="214" t="s">
        <v>147</v>
      </c>
      <c r="U8" s="214" t="s">
        <v>132</v>
      </c>
      <c r="V8" s="214" t="s">
        <v>155</v>
      </c>
      <c r="W8" s="214" t="s">
        <v>150</v>
      </c>
      <c r="X8" s="214" t="s">
        <v>152</v>
      </c>
      <c r="Y8" s="214" t="s">
        <v>161</v>
      </c>
      <c r="Z8" s="214" t="s">
        <v>153</v>
      </c>
      <c r="AA8" s="213"/>
      <c r="AB8" s="213"/>
      <c r="AC8" s="211"/>
      <c r="AD8" s="211"/>
      <c r="AE8" s="211"/>
      <c r="AF8" s="211"/>
      <c r="AG8" s="211"/>
    </row>
    <row r="9" spans="1:36" ht="133.5" customHeight="1">
      <c r="A9" s="330" t="s">
        <v>0</v>
      </c>
      <c r="B9" s="215" t="s">
        <v>204</v>
      </c>
      <c r="C9" s="331" t="s">
        <v>205</v>
      </c>
      <c r="D9" s="333" t="s">
        <v>206</v>
      </c>
      <c r="E9" s="330" t="s">
        <v>207</v>
      </c>
      <c r="F9" s="335" t="s">
        <v>37</v>
      </c>
      <c r="G9" s="216" t="str">
        <f ca="1">INDEX(INDIRECT($AJ$4&amp;"!$G$4:$CZ$4"),1,MATCH('TN1'!G$8,INDIRECT($AJ$4&amp;"!$G$4:$CZ$4"),0)-3)</f>
        <v>Triết học</v>
      </c>
      <c r="H9" s="216" t="str">
        <f ca="1">INDEX(INDIRECT($AJ$4&amp;"!$G$4:$CZ$4"),1,MATCH('TN1'!H$8,INDIRECT($AJ$4&amp;"!$G$4:$CZ$4"),0)-3)</f>
        <v>Tiếng Anh 1</v>
      </c>
      <c r="I9" s="216" t="str">
        <f ca="1">INDEX(INDIRECT($AJ$4&amp;"!$G$4:$CZ$4"),1,MATCH('TN1'!I$8,INDIRECT($AJ$4&amp;"!$G$4:$CZ$4"),0)-3)</f>
        <v>Tiếng Anh 2</v>
      </c>
      <c r="J9" s="216" t="str">
        <f ca="1">INDEX(INDIRECT($AJ$4&amp;"!$G$4:$CZ$4"),1,MATCH('TN1'!J$8,INDIRECT($AJ$4&amp;"!$G$4:$CZ$4"),0)-3)</f>
        <v>Tiếng Anh 3</v>
      </c>
      <c r="K9" s="216" t="str">
        <f ca="1">INDEX(INDIRECT($AJ$4&amp;"!$G$4:$CZ$4"),1,MATCH('TN1'!K$8,INDIRECT($AJ$4&amp;"!$G$4:$CZ$4"),0)-3)</f>
        <v>Phương pháp luận nghiên cứu khoa học</v>
      </c>
      <c r="L9" s="216" t="str">
        <f ca="1">INDEX(INDIRECT($AJ$4&amp;"!$G$4:$CZ$4"),1,MATCH('TN1'!L$8,INDIRECT($AJ$4&amp;"!$G$4:$CZ$4"),0)-3)</f>
        <v>An toàn và bảo mật thông tin</v>
      </c>
      <c r="M9" s="216" t="str">
        <f ca="1">INDEX(INDIRECT($AJ$4&amp;"!$G$4:$CZ$4"),1,MATCH('TN1'!M$8,INDIRECT($AJ$4&amp;"!$G$4:$CZ$4"),0)-3)</f>
        <v>Cơ sở dữ liệu nâng cao</v>
      </c>
      <c r="N9" s="216" t="str">
        <f ca="1">INDEX(INDIRECT($AJ$4&amp;"!$G$4:$CZ$4"),1,MATCH('TN1'!N$8,INDIRECT($AJ$4&amp;"!$G$4:$CZ$4"),0)-3)</f>
        <v>Cấu trúc dữ liệu &amp; giải thuật nâng cao</v>
      </c>
      <c r="O9" s="216" t="str">
        <f ca="1">INDEX(INDIRECT($AJ$4&amp;"!$G$4:$CZ$4"),1,MATCH('TN1'!O$8,INDIRECT($AJ$4&amp;"!$G$4:$CZ$4"),0)-3)</f>
        <v>Mạng và truyền dữ liệu nâng cao</v>
      </c>
      <c r="P9" s="216" t="str">
        <f ca="1">INDEX(INDIRECT($AJ$4&amp;"!$G$4:$CZ$4"),1,MATCH('TN1'!P$8,INDIRECT($AJ$4&amp;"!$G$4:$CZ$4"),0)-3)</f>
        <v>Lý thuyết nhận dạng( xử lý ảnh)</v>
      </c>
      <c r="Q9" s="216" t="str">
        <f ca="1">INDEX(INDIRECT($AJ$4&amp;"!$G$4:$CZ$4"),1,MATCH('TN1'!Q$8,INDIRECT($AJ$4&amp;"!$G$4:$CZ$4"),0)-3)</f>
        <v>Lập trình hướng đối tượng</v>
      </c>
      <c r="R9" s="216" t="str">
        <f ca="1">INDEX(INDIRECT($AJ$4&amp;"!$G$4:$CZ$4"),1,MATCH('TN1'!R$8,INDIRECT($AJ$4&amp;"!$G$4:$CZ$4"),0)-3)</f>
        <v>Khai mỏ dữ liệu</v>
      </c>
      <c r="S9" s="216" t="str">
        <f ca="1">INDEX(INDIRECT($AJ$4&amp;"!$G$4:$CZ$4"),1,MATCH('TN1'!S$8,INDIRECT($AJ$4&amp;"!$G$4:$CZ$4"),0)-3)</f>
        <v>Các mô hình ra quyết định</v>
      </c>
      <c r="T9" s="216" t="str">
        <f ca="1">INDEX(INDIRECT($AJ$4&amp;"!$G$4:$CZ$4"),1,MATCH('TN1'!T$8,INDIRECT($AJ$4&amp;"!$G$4:$CZ$4"),0)-3)</f>
        <v>Hệ chuyên gia</v>
      </c>
      <c r="U9" s="216" t="str">
        <f ca="1">INDEX(INDIRECT($AJ$4&amp;"!$G$4:$CZ$4"),1,MATCH('TN1'!U$8,INDIRECT($AJ$4&amp;"!$G$4:$CZ$4"),0)-3)</f>
        <v>Xử lý ngôn ngữ tự nhiên</v>
      </c>
      <c r="V9" s="216" t="str">
        <f ca="1">INDEX(INDIRECT($AJ$4&amp;"!$G$4:$CZ$4"),1,MATCH('TN1'!V$8,INDIRECT($AJ$4&amp;"!$G$4:$CZ$4"),0)-3)</f>
        <v>Phân tích &amp; thiết kế hệ thống &amp; hướng đối tượng</v>
      </c>
      <c r="W9" s="216" t="str">
        <f ca="1">INDEX(INDIRECT($AJ$4&amp;"!$G$4:$CZ$4"),1,MATCH('TN1'!W$8,INDIRECT($AJ$4&amp;"!$G$4:$CZ$4"),0)-3)</f>
        <v>Quản lý dự án phần mềm</v>
      </c>
      <c r="X9" s="216" t="str">
        <f ca="1">INDEX(INDIRECT($AJ$4&amp;"!$G$4:$CZ$4"),1,MATCH('TN1'!X$8,INDIRECT($AJ$4&amp;"!$G$4:$CZ$4"),0)-3)</f>
        <v>Kiểm thử &amp; đảm bảo chất lượng phần mềm</v>
      </c>
      <c r="Y9" s="216" t="str">
        <f ca="1">INDEX(INDIRECT($AJ$4&amp;"!$G$4:$CZ$4"),1,MATCH('TN1'!Y$8,INDIRECT($AJ$4&amp;"!$G$4:$CZ$4"),0)-3)</f>
        <v>Hệ phân tán</v>
      </c>
      <c r="Z9" s="216" t="str">
        <f ca="1">INDEX(INDIRECT($AJ$4&amp;"!$G$4:$CZ$4"),1,MATCH('TN1'!Z$8,INDIRECT($AJ$4&amp;"!$G$4:$CZ$4"),0)-3)</f>
        <v>Mạng không dây nâng cao</v>
      </c>
      <c r="AA9" s="255" t="s">
        <v>208</v>
      </c>
      <c r="AB9" s="336" t="s">
        <v>18</v>
      </c>
      <c r="AC9" s="324" t="s">
        <v>209</v>
      </c>
      <c r="AD9" s="324" t="s">
        <v>210</v>
      </c>
      <c r="AE9" s="324" t="s">
        <v>211</v>
      </c>
      <c r="AF9" s="324" t="s">
        <v>212</v>
      </c>
      <c r="AG9" s="324" t="s">
        <v>159</v>
      </c>
      <c r="AH9" s="257" t="s">
        <v>226</v>
      </c>
    </row>
    <row r="10" spans="1:36">
      <c r="A10" s="330"/>
      <c r="B10" s="215" t="s">
        <v>213</v>
      </c>
      <c r="C10" s="332"/>
      <c r="D10" s="334"/>
      <c r="E10" s="330"/>
      <c r="F10" s="335"/>
      <c r="G10" s="217">
        <f ca="1">INDEX(INDIRECT($AJ$4&amp;"!$G$5:$CZ$5"),1,MATCH('TN1'!G$8,INDIRECT($AJ$4&amp;"!$G$4:$CZ$4"),0))</f>
        <v>3</v>
      </c>
      <c r="H10" s="217">
        <f ca="1">INDEX(INDIRECT($AJ$4&amp;"!$G$5:$CZ$5"),1,MATCH('TN1'!H$8,INDIRECT($AJ$4&amp;"!$G$4:$CZ$4"),0))</f>
        <v>3</v>
      </c>
      <c r="I10" s="217">
        <f ca="1">INDEX(INDIRECT($AJ$4&amp;"!$G$5:$CZ$5"),1,MATCH('TN1'!I$8,INDIRECT($AJ$4&amp;"!$G$4:$CZ$4"),0))</f>
        <v>3</v>
      </c>
      <c r="J10" s="217">
        <f ca="1">INDEX(INDIRECT($AJ$4&amp;"!$G$5:$CZ$5"),1,MATCH('TN1'!J$8,INDIRECT($AJ$4&amp;"!$G$4:$CZ$4"),0))</f>
        <v>3</v>
      </c>
      <c r="K10" s="217">
        <f ca="1">INDEX(INDIRECT($AJ$4&amp;"!$G$5:$CZ$5"),1,MATCH('TN1'!K$8,INDIRECT($AJ$4&amp;"!$G$4:$CZ$4"),0))</f>
        <v>2</v>
      </c>
      <c r="L10" s="217">
        <f ca="1">INDEX(INDIRECT($AJ$4&amp;"!$G$5:$CZ$5"),1,MATCH('TN1'!L$8,INDIRECT($AJ$4&amp;"!$G$4:$CZ$4"),0))</f>
        <v>2</v>
      </c>
      <c r="M10" s="217">
        <f ca="1">INDEX(INDIRECT($AJ$4&amp;"!$G$5:$CZ$5"),1,MATCH('TN1'!M$8,INDIRECT($AJ$4&amp;"!$G$4:$CZ$4"),0))</f>
        <v>3</v>
      </c>
      <c r="N10" s="217">
        <f ca="1">INDEX(INDIRECT($AJ$4&amp;"!$G$5:$CZ$5"),1,MATCH('TN1'!N$8,INDIRECT($AJ$4&amp;"!$G$4:$CZ$4"),0))</f>
        <v>2</v>
      </c>
      <c r="O10" s="217">
        <f ca="1">INDEX(INDIRECT($AJ$4&amp;"!$G$5:$CZ$5"),1,MATCH('TN1'!O$8,INDIRECT($AJ$4&amp;"!$G$4:$CZ$4"),0))</f>
        <v>3</v>
      </c>
      <c r="P10" s="217">
        <f ca="1">INDEX(INDIRECT($AJ$4&amp;"!$G$5:$CZ$5"),1,MATCH('TN1'!P$8,INDIRECT($AJ$4&amp;"!$G$4:$CZ$4"),0))</f>
        <v>3</v>
      </c>
      <c r="Q10" s="217">
        <f ca="1">INDEX(INDIRECT($AJ$4&amp;"!$G$5:$CZ$5"),1,MATCH('TN1'!Q$8,INDIRECT($AJ$4&amp;"!$G$4:$CZ$4"),0))</f>
        <v>3</v>
      </c>
      <c r="R10" s="217">
        <f ca="1">INDEX(INDIRECT($AJ$4&amp;"!$G$5:$CZ$5"),1,MATCH('TN1'!R$8,INDIRECT($AJ$4&amp;"!$G$4:$CZ$4"),0))</f>
        <v>2</v>
      </c>
      <c r="S10" s="217">
        <f ca="1">INDEX(INDIRECT($AJ$4&amp;"!$G$5:$CZ$5"),1,MATCH('TN1'!S$8,INDIRECT($AJ$4&amp;"!$G$4:$CZ$4"),0))</f>
        <v>3</v>
      </c>
      <c r="T10" s="217">
        <f ca="1">INDEX(INDIRECT($AJ$4&amp;"!$G$5:$CZ$5"),1,MATCH('TN1'!T$8,INDIRECT($AJ$4&amp;"!$G$4:$CZ$4"),0))</f>
        <v>3</v>
      </c>
      <c r="U10" s="217">
        <f ca="1">INDEX(INDIRECT($AJ$4&amp;"!$G$5:$CZ$5"),1,MATCH('TN1'!U$8,INDIRECT($AJ$4&amp;"!$G$4:$CZ$4"),0))</f>
        <v>3</v>
      </c>
      <c r="V10" s="217">
        <f ca="1">INDEX(INDIRECT($AJ$4&amp;"!$G$5:$CZ$5"),1,MATCH('TN1'!V$8,INDIRECT($AJ$4&amp;"!$G$4:$CZ$4"),0))</f>
        <v>2</v>
      </c>
      <c r="W10" s="217">
        <f ca="1">INDEX(INDIRECT($AJ$4&amp;"!$G$5:$CZ$5"),1,MATCH('TN1'!W$8,INDIRECT($AJ$4&amp;"!$G$4:$CZ$4"),0))</f>
        <v>3</v>
      </c>
      <c r="X10" s="217">
        <f ca="1">INDEX(INDIRECT($AJ$4&amp;"!$G$5:$CZ$5"),1,MATCH('TN1'!X$8,INDIRECT($AJ$4&amp;"!$G$4:$CZ$4"),0))</f>
        <v>3</v>
      </c>
      <c r="Y10" s="217">
        <f ca="1">INDEX(INDIRECT($AJ$4&amp;"!$G$5:$CZ$5"),1,MATCH('TN1'!Y$8,INDIRECT($AJ$4&amp;"!$G$4:$CZ$4"),0))</f>
        <v>3</v>
      </c>
      <c r="Z10" s="217">
        <f ca="1">INDEX(INDIRECT($AJ$4&amp;"!$G$5:$CZ$5"),1,MATCH('TN1'!Z$8,INDIRECT($AJ$4&amp;"!$G$4:$CZ$4"),0))</f>
        <v>2</v>
      </c>
      <c r="AA10" s="256">
        <f ca="1">SUMIF(G10:Z10,"&gt;=0",$G$10:$Z$10)</f>
        <v>54</v>
      </c>
      <c r="AB10" s="337"/>
      <c r="AC10" s="325"/>
      <c r="AD10" s="325"/>
      <c r="AE10" s="325"/>
      <c r="AF10" s="325"/>
      <c r="AG10" s="325"/>
    </row>
    <row r="11" spans="1:36" ht="21.75" customHeight="1">
      <c r="A11" s="326" t="s">
        <v>224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8"/>
    </row>
    <row r="12" spans="1:36" s="253" customFormat="1" ht="24.95" customHeight="1">
      <c r="A12" s="244">
        <v>1</v>
      </c>
      <c r="B12" s="245">
        <v>25311106118</v>
      </c>
      <c r="C12" s="246" t="str">
        <f ca="1">VLOOKUP($B12,INDIRECT($AJ$4&amp;"!$B$6:$G$333"),2,0)</f>
        <v>Nguyễn Văn</v>
      </c>
      <c r="D12" s="247" t="str">
        <f ca="1">VLOOKUP($B12,INDIRECT($AJ$4&amp;"!$B$6:$G$333"),3,0)</f>
        <v>Bổn</v>
      </c>
      <c r="E12" s="248">
        <f ca="1">VLOOKUP($B12,INDIRECT($AJ$4&amp;"!$B$6:$G$333"),5,0)</f>
        <v>27383</v>
      </c>
      <c r="F12" s="248" t="str">
        <f ca="1">VLOOKUP($B12,INDIRECT($AJ$4&amp;"!$B$6:$G$333"),6,0)</f>
        <v>Quảng Nam</v>
      </c>
      <c r="G12" s="249">
        <f ca="1">VLOOKUP($B12,INDIRECT($AJ$4&amp;"!$B$6:$CZ$333"),MATCH('TN1'!G$8,INDIRECT($AJ$4&amp;"!$B$4:$CZ$4"),0),0)</f>
        <v>6.9</v>
      </c>
      <c r="H12" s="249">
        <f ca="1">VLOOKUP($B12,INDIRECT($AJ$4&amp;"!$B$6:$CZ$333"),MATCH('TN1'!H$8,INDIRECT($AJ$4&amp;"!$B$4:$CZ$4"),0),0)</f>
        <v>7</v>
      </c>
      <c r="I12" s="249">
        <f ca="1">VLOOKUP($B12,INDIRECT($AJ$4&amp;"!$B$6:$CZ$333"),MATCH('TN1'!I$8,INDIRECT($AJ$4&amp;"!$B$4:$CZ$4"),0),0)</f>
        <v>7.6</v>
      </c>
      <c r="J12" s="249">
        <f ca="1">VLOOKUP($B12,INDIRECT($AJ$4&amp;"!$B$6:$CZ$333"),MATCH('TN1'!J$8,INDIRECT($AJ$4&amp;"!$B$4:$CZ$4"),0),0)</f>
        <v>8.4</v>
      </c>
      <c r="K12" s="249">
        <f ca="1">VLOOKUP($B12,INDIRECT($AJ$4&amp;"!$B$6:$CZ$333"),MATCH('TN1'!K$8,INDIRECT($AJ$4&amp;"!$B$4:$CZ$4"),0),0)</f>
        <v>7.6</v>
      </c>
      <c r="L12" s="249">
        <f ca="1">VLOOKUP($B12,INDIRECT($AJ$4&amp;"!$B$6:$CZ$333"),MATCH('TN1'!L$8,INDIRECT($AJ$4&amp;"!$B$4:$CZ$4"),0),0)</f>
        <v>7.3</v>
      </c>
      <c r="M12" s="249">
        <f ca="1">VLOOKUP($B12,INDIRECT($AJ$4&amp;"!$B$6:$CZ$333"),MATCH('TN1'!M$8,INDIRECT($AJ$4&amp;"!$B$4:$CZ$4"),0),0)</f>
        <v>8.3000000000000007</v>
      </c>
      <c r="N12" s="249">
        <f ca="1">VLOOKUP($B12,INDIRECT($AJ$4&amp;"!$B$6:$CZ$333"),MATCH('TN1'!N$8,INDIRECT($AJ$4&amp;"!$B$4:$CZ$4"),0),0)</f>
        <v>7.5</v>
      </c>
      <c r="O12" s="249">
        <f ca="1">VLOOKUP($B12,INDIRECT($AJ$4&amp;"!$B$6:$CZ$333"),MATCH('TN1'!O$8,INDIRECT($AJ$4&amp;"!$B$4:$CZ$4"),0),0)</f>
        <v>8.1999999999999993</v>
      </c>
      <c r="P12" s="249">
        <f ca="1">VLOOKUP($B12,INDIRECT($AJ$4&amp;"!$B$6:$CZ$333"),MATCH('TN1'!P$8,INDIRECT($AJ$4&amp;"!$B$4:$CZ$4"),0),0)</f>
        <v>6.9</v>
      </c>
      <c r="Q12" s="249">
        <f ca="1">VLOOKUP($B12,INDIRECT($AJ$4&amp;"!$B$6:$CZ$333"),MATCH('TN1'!Q$8,INDIRECT($AJ$4&amp;"!$B$4:$CZ$4"),0),0)</f>
        <v>7.9</v>
      </c>
      <c r="R12" s="249">
        <f ca="1">VLOOKUP($B12,INDIRECT($AJ$4&amp;"!$B$6:$CZ$333"),MATCH('TN1'!R$8,INDIRECT($AJ$4&amp;"!$B$4:$CZ$4"),0),0)</f>
        <v>7.6</v>
      </c>
      <c r="S12" s="249">
        <f ca="1">VLOOKUP($B12,INDIRECT($AJ$4&amp;"!$B$6:$CZ$333"),MATCH('TN1'!S$8,INDIRECT($AJ$4&amp;"!$B$4:$CZ$4"),0),0)</f>
        <v>7.3</v>
      </c>
      <c r="T12" s="249">
        <f ca="1">VLOOKUP($B12,INDIRECT($AJ$4&amp;"!$B$6:$CZ$333"),MATCH('TN1'!T$8,INDIRECT($AJ$4&amp;"!$B$4:$CZ$4"),0),0)</f>
        <v>8.8000000000000007</v>
      </c>
      <c r="U12" s="249">
        <f ca="1">VLOOKUP($B12,INDIRECT($AJ$4&amp;"!$B$6:$CZ$333"),MATCH('TN1'!U$8,INDIRECT($AJ$4&amp;"!$B$4:$CZ$4"),0),0)</f>
        <v>8.9</v>
      </c>
      <c r="V12" s="249">
        <f ca="1">VLOOKUP($B12,INDIRECT($AJ$4&amp;"!$B$6:$CZ$333"),MATCH('TN1'!V$8,INDIRECT($AJ$4&amp;"!$B$4:$CZ$4"),0),0)</f>
        <v>7.1</v>
      </c>
      <c r="W12" s="249">
        <f ca="1">VLOOKUP($B12,INDIRECT($AJ$4&amp;"!$B$6:$CZ$333"),MATCH('TN1'!W$8,INDIRECT($AJ$4&amp;"!$B$4:$CZ$4"),0),0)</f>
        <v>7.3</v>
      </c>
      <c r="X12" s="249">
        <f ca="1">VLOOKUP($B12,INDIRECT($AJ$4&amp;"!$B$6:$CZ$333"),MATCH('TN1'!X$8,INDIRECT($AJ$4&amp;"!$B$4:$CZ$4"),0),0)</f>
        <v>8.4</v>
      </c>
      <c r="Y12" s="249">
        <f ca="1">VLOOKUP($B12,INDIRECT($AJ$4&amp;"!$B$6:$CZ$333"),MATCH('TN1'!Y$8,INDIRECT($AJ$4&amp;"!$B$4:$CZ$4"),0),0)</f>
        <v>8.1</v>
      </c>
      <c r="Z12" s="249">
        <f ca="1">VLOOKUP($B12,INDIRECT($AJ$4&amp;"!$B$6:$CZ$333"),MATCH('TN1'!Z$8,INDIRECT($AJ$4&amp;"!$B$4:$CZ$4"),0),0)</f>
        <v>7</v>
      </c>
      <c r="AA12" s="250">
        <f ca="1">SUMIF(G12:Z12,"&gt;=0",$G$10:$Z$10)</f>
        <v>54</v>
      </c>
      <c r="AB12" s="251">
        <f t="shared" ref="AB12" ca="1" si="2">ROUND(SUMPRODUCT(G12:Z12,$G$10:$Z$10)/$AA12,2)</f>
        <v>7.74</v>
      </c>
      <c r="AC12" s="244">
        <f ca="1">SUMIF(G12:Z12,"&lt;4",$G$6:$Z$6)</f>
        <v>0</v>
      </c>
      <c r="AD12" s="244">
        <f ca="1">SUMIF(G12:Z12,"&lt;4",$G$7:$Z$7)</f>
        <v>0</v>
      </c>
      <c r="AE12" s="244" t="s">
        <v>201</v>
      </c>
      <c r="AF12" s="244" t="str">
        <f ca="1">IF(AND(AD12=0,AE12="ĐẠT",AB12&gt;=5.5),"ĐỦ ĐK","KO ĐỦ")</f>
        <v>ĐỦ ĐK</v>
      </c>
      <c r="AG12" s="252"/>
      <c r="AH12" s="254">
        <v>44311</v>
      </c>
      <c r="AI12" s="254"/>
    </row>
    <row r="13" spans="1:36" s="253" customFormat="1" ht="24.95" customHeight="1">
      <c r="A13" s="244">
        <v>2</v>
      </c>
      <c r="B13" s="245">
        <v>25311106119</v>
      </c>
      <c r="C13" s="246" t="str">
        <f t="shared" ref="C13:C30" ca="1" si="3">VLOOKUP($B13,INDIRECT($AJ$4&amp;"!$B$6:$G$333"),2,0)</f>
        <v>Lê Thanh</v>
      </c>
      <c r="D13" s="247" t="str">
        <f t="shared" ref="D13:D30" ca="1" si="4">VLOOKUP($B13,INDIRECT($AJ$4&amp;"!$B$6:$G$333"),3,0)</f>
        <v>Hiệu</v>
      </c>
      <c r="E13" s="248">
        <f t="shared" ref="E13:E30" ca="1" si="5">VLOOKUP($B13,INDIRECT($AJ$4&amp;"!$B$6:$G$333"),5,0)</f>
        <v>30624</v>
      </c>
      <c r="F13" s="248" t="str">
        <f t="shared" ref="F13:F30" ca="1" si="6">VLOOKUP($B13,INDIRECT($AJ$4&amp;"!$B$6:$G$333"),6,0)</f>
        <v>Quảng Nam</v>
      </c>
      <c r="G13" s="249">
        <f ca="1">VLOOKUP($B13,INDIRECT($AJ$4&amp;"!$B$6:$CZ$333"),MATCH('TN1'!G$8,INDIRECT($AJ$4&amp;"!$B$4:$CZ$4"),0),0)</f>
        <v>6.6</v>
      </c>
      <c r="H13" s="249">
        <f ca="1">VLOOKUP($B13,INDIRECT($AJ$4&amp;"!$B$6:$CZ$333"),MATCH('TN1'!H$8,INDIRECT($AJ$4&amp;"!$B$4:$CZ$4"),0),0)</f>
        <v>8</v>
      </c>
      <c r="I13" s="249">
        <f ca="1">VLOOKUP($B13,INDIRECT($AJ$4&amp;"!$B$6:$CZ$333"),MATCH('TN1'!I$8,INDIRECT($AJ$4&amp;"!$B$4:$CZ$4"),0),0)</f>
        <v>7.7</v>
      </c>
      <c r="J13" s="249">
        <f ca="1">VLOOKUP($B13,INDIRECT($AJ$4&amp;"!$B$6:$CZ$333"),MATCH('TN1'!J$8,INDIRECT($AJ$4&amp;"!$B$4:$CZ$4"),0),0)</f>
        <v>8.4</v>
      </c>
      <c r="K13" s="249">
        <f ca="1">VLOOKUP($B13,INDIRECT($AJ$4&amp;"!$B$6:$CZ$333"),MATCH('TN1'!K$8,INDIRECT($AJ$4&amp;"!$B$4:$CZ$4"),0),0)</f>
        <v>7.4</v>
      </c>
      <c r="L13" s="249">
        <f ca="1">VLOOKUP($B13,INDIRECT($AJ$4&amp;"!$B$6:$CZ$333"),MATCH('TN1'!L$8,INDIRECT($AJ$4&amp;"!$B$4:$CZ$4"),0),0)</f>
        <v>8.3000000000000007</v>
      </c>
      <c r="M13" s="249">
        <f ca="1">VLOOKUP($B13,INDIRECT($AJ$4&amp;"!$B$6:$CZ$333"),MATCH('TN1'!M$8,INDIRECT($AJ$4&amp;"!$B$4:$CZ$4"),0),0)</f>
        <v>8.3000000000000007</v>
      </c>
      <c r="N13" s="249">
        <f ca="1">VLOOKUP($B13,INDIRECT($AJ$4&amp;"!$B$6:$CZ$333"),MATCH('TN1'!N$8,INDIRECT($AJ$4&amp;"!$B$4:$CZ$4"),0),0)</f>
        <v>8</v>
      </c>
      <c r="O13" s="249">
        <f ca="1">VLOOKUP($B13,INDIRECT($AJ$4&amp;"!$B$6:$CZ$333"),MATCH('TN1'!O$8,INDIRECT($AJ$4&amp;"!$B$4:$CZ$4"),0),0)</f>
        <v>8</v>
      </c>
      <c r="P13" s="249">
        <f ca="1">VLOOKUP($B13,INDIRECT($AJ$4&amp;"!$B$6:$CZ$333"),MATCH('TN1'!P$8,INDIRECT($AJ$4&amp;"!$B$4:$CZ$4"),0),0)</f>
        <v>6.9</v>
      </c>
      <c r="Q13" s="249">
        <f ca="1">VLOOKUP($B13,INDIRECT($AJ$4&amp;"!$B$6:$CZ$333"),MATCH('TN1'!Q$8,INDIRECT($AJ$4&amp;"!$B$4:$CZ$4"),0),0)</f>
        <v>8.3000000000000007</v>
      </c>
      <c r="R13" s="249">
        <f ca="1">VLOOKUP($B13,INDIRECT($AJ$4&amp;"!$B$6:$CZ$333"),MATCH('TN1'!R$8,INDIRECT($AJ$4&amp;"!$B$4:$CZ$4"),0),0)</f>
        <v>7.8</v>
      </c>
      <c r="S13" s="249">
        <f ca="1">VLOOKUP($B13,INDIRECT($AJ$4&amp;"!$B$6:$CZ$333"),MATCH('TN1'!S$8,INDIRECT($AJ$4&amp;"!$B$4:$CZ$4"),0),0)</f>
        <v>7.3</v>
      </c>
      <c r="T13" s="249">
        <f ca="1">VLOOKUP($B13,INDIRECT($AJ$4&amp;"!$B$6:$CZ$333"),MATCH('TN1'!T$8,INDIRECT($AJ$4&amp;"!$B$4:$CZ$4"),0),0)</f>
        <v>8</v>
      </c>
      <c r="U13" s="249">
        <f ca="1">VLOOKUP($B13,INDIRECT($AJ$4&amp;"!$B$6:$CZ$333"),MATCH('TN1'!U$8,INDIRECT($AJ$4&amp;"!$B$4:$CZ$4"),0),0)</f>
        <v>8.9</v>
      </c>
      <c r="V13" s="249">
        <f ca="1">VLOOKUP($B13,INDIRECT($AJ$4&amp;"!$B$6:$CZ$333"),MATCH('TN1'!V$8,INDIRECT($AJ$4&amp;"!$B$4:$CZ$4"),0),0)</f>
        <v>6.6</v>
      </c>
      <c r="W13" s="249">
        <f ca="1">VLOOKUP($B13,INDIRECT($AJ$4&amp;"!$B$6:$CZ$333"),MATCH('TN1'!W$8,INDIRECT($AJ$4&amp;"!$B$4:$CZ$4"),0),0)</f>
        <v>9</v>
      </c>
      <c r="X13" s="249">
        <f ca="1">VLOOKUP($B13,INDIRECT($AJ$4&amp;"!$B$6:$CZ$333"),MATCH('TN1'!X$8,INDIRECT($AJ$4&amp;"!$B$4:$CZ$4"),0),0)</f>
        <v>8.1999999999999993</v>
      </c>
      <c r="Y13" s="249">
        <f ca="1">VLOOKUP($B13,INDIRECT($AJ$4&amp;"!$B$6:$CZ$333"),MATCH('TN1'!Y$8,INDIRECT($AJ$4&amp;"!$B$4:$CZ$4"),0),0)</f>
        <v>7.8</v>
      </c>
      <c r="Z13" s="249">
        <f ca="1">VLOOKUP($B13,INDIRECT($AJ$4&amp;"!$B$6:$CZ$333"),MATCH('TN1'!Z$8,INDIRECT($AJ$4&amp;"!$B$4:$CZ$4"),0),0)</f>
        <v>8</v>
      </c>
      <c r="AA13" s="250">
        <f t="shared" ref="AA13:AA30" ca="1" si="7">SUMIF(G13:Z13,"&gt;=0",$G$10:$Z$10)</f>
        <v>54</v>
      </c>
      <c r="AB13" s="251">
        <f t="shared" ref="AB13:AB30" ca="1" si="8">ROUND(SUMPRODUCT(G13:Z13,$G$10:$Z$10)/$AA13,2)</f>
        <v>7.9</v>
      </c>
      <c r="AC13" s="244">
        <f t="shared" ref="AC13:AC30" ca="1" si="9">SUMIF(G13:Z13,"&lt;4",$G$6:$Z$6)</f>
        <v>0</v>
      </c>
      <c r="AD13" s="244">
        <f t="shared" ref="AD13:AD30" ca="1" si="10">SUMIF(G13:Z13,"&lt;4",$G$7:$Z$7)</f>
        <v>0</v>
      </c>
      <c r="AE13" s="244" t="s">
        <v>201</v>
      </c>
      <c r="AF13" s="244" t="str">
        <f t="shared" ref="AF13:AF30" ca="1" si="11">IF(AND(AD13=0,AE13="ĐẠT",AB13&gt;=5.5),"ĐỦ ĐK","KO ĐỦ")</f>
        <v>ĐỦ ĐK</v>
      </c>
      <c r="AG13" s="252"/>
      <c r="AH13" s="254">
        <v>44311</v>
      </c>
      <c r="AI13" s="254"/>
    </row>
    <row r="14" spans="1:36" s="253" customFormat="1" ht="24.95" customHeight="1">
      <c r="A14" s="244">
        <v>3</v>
      </c>
      <c r="B14" s="245">
        <v>25311106120</v>
      </c>
      <c r="C14" s="246" t="str">
        <f t="shared" ca="1" si="3"/>
        <v>Nguyễn</v>
      </c>
      <c r="D14" s="247" t="str">
        <f t="shared" ca="1" si="4"/>
        <v>Lào</v>
      </c>
      <c r="E14" s="248">
        <f t="shared" ca="1" si="5"/>
        <v>28773</v>
      </c>
      <c r="F14" s="248" t="str">
        <f t="shared" ca="1" si="6"/>
        <v>Quảng Nam</v>
      </c>
      <c r="G14" s="249">
        <f ca="1">VLOOKUP($B14,INDIRECT($AJ$4&amp;"!$B$6:$CZ$333"),MATCH('TN1'!G$8,INDIRECT($AJ$4&amp;"!$B$4:$CZ$4"),0),0)</f>
        <v>6.7</v>
      </c>
      <c r="H14" s="249">
        <f ca="1">VLOOKUP($B14,INDIRECT($AJ$4&amp;"!$B$6:$CZ$333"),MATCH('TN1'!H$8,INDIRECT($AJ$4&amp;"!$B$4:$CZ$4"),0),0)</f>
        <v>7.9</v>
      </c>
      <c r="I14" s="249">
        <f ca="1">VLOOKUP($B14,INDIRECT($AJ$4&amp;"!$B$6:$CZ$333"),MATCH('TN1'!I$8,INDIRECT($AJ$4&amp;"!$B$4:$CZ$4"),0),0)</f>
        <v>8.1999999999999993</v>
      </c>
      <c r="J14" s="249">
        <f ca="1">VLOOKUP($B14,INDIRECT($AJ$4&amp;"!$B$6:$CZ$333"),MATCH('TN1'!J$8,INDIRECT($AJ$4&amp;"!$B$4:$CZ$4"),0),0)</f>
        <v>7.9</v>
      </c>
      <c r="K14" s="249">
        <f ca="1">VLOOKUP($B14,INDIRECT($AJ$4&amp;"!$B$6:$CZ$333"),MATCH('TN1'!K$8,INDIRECT($AJ$4&amp;"!$B$4:$CZ$4"),0),0)</f>
        <v>7.9</v>
      </c>
      <c r="L14" s="249">
        <f ca="1">VLOOKUP($B14,INDIRECT($AJ$4&amp;"!$B$6:$CZ$333"),MATCH('TN1'!L$8,INDIRECT($AJ$4&amp;"!$B$4:$CZ$4"),0),0)</f>
        <v>7.3</v>
      </c>
      <c r="M14" s="249">
        <f ca="1">VLOOKUP($B14,INDIRECT($AJ$4&amp;"!$B$6:$CZ$333"),MATCH('TN1'!M$8,INDIRECT($AJ$4&amp;"!$B$4:$CZ$4"),0),0)</f>
        <v>8.3000000000000007</v>
      </c>
      <c r="N14" s="249">
        <f ca="1">VLOOKUP($B14,INDIRECT($AJ$4&amp;"!$B$6:$CZ$333"),MATCH('TN1'!N$8,INDIRECT($AJ$4&amp;"!$B$4:$CZ$4"),0),0)</f>
        <v>7.5</v>
      </c>
      <c r="O14" s="249">
        <f ca="1">VLOOKUP($B14,INDIRECT($AJ$4&amp;"!$B$6:$CZ$333"),MATCH('TN1'!O$8,INDIRECT($AJ$4&amp;"!$B$4:$CZ$4"),0),0)</f>
        <v>8.4</v>
      </c>
      <c r="P14" s="249">
        <f ca="1">VLOOKUP($B14,INDIRECT($AJ$4&amp;"!$B$6:$CZ$333"),MATCH('TN1'!P$8,INDIRECT($AJ$4&amp;"!$B$4:$CZ$4"),0),0)</f>
        <v>6.9</v>
      </c>
      <c r="Q14" s="249">
        <f ca="1">VLOOKUP($B14,INDIRECT($AJ$4&amp;"!$B$6:$CZ$333"),MATCH('TN1'!Q$8,INDIRECT($AJ$4&amp;"!$B$4:$CZ$4"),0),0)</f>
        <v>8.3000000000000007</v>
      </c>
      <c r="R14" s="249">
        <f ca="1">VLOOKUP($B14,INDIRECT($AJ$4&amp;"!$B$6:$CZ$333"),MATCH('TN1'!R$8,INDIRECT($AJ$4&amp;"!$B$4:$CZ$4"),0),0)</f>
        <v>8.1</v>
      </c>
      <c r="S14" s="249">
        <f ca="1">VLOOKUP($B14,INDIRECT($AJ$4&amp;"!$B$6:$CZ$333"),MATCH('TN1'!S$8,INDIRECT($AJ$4&amp;"!$B$4:$CZ$4"),0),0)</f>
        <v>7</v>
      </c>
      <c r="T14" s="249">
        <f ca="1">VLOOKUP($B14,INDIRECT($AJ$4&amp;"!$B$6:$CZ$333"),MATCH('TN1'!T$8,INDIRECT($AJ$4&amp;"!$B$4:$CZ$4"),0),0)</f>
        <v>8</v>
      </c>
      <c r="U14" s="249">
        <f ca="1">VLOOKUP($B14,INDIRECT($AJ$4&amp;"!$B$6:$CZ$333"),MATCH('TN1'!U$8,INDIRECT($AJ$4&amp;"!$B$4:$CZ$4"),0),0)</f>
        <v>8.9</v>
      </c>
      <c r="V14" s="249">
        <f ca="1">VLOOKUP($B14,INDIRECT($AJ$4&amp;"!$B$6:$CZ$333"),MATCH('TN1'!V$8,INDIRECT($AJ$4&amp;"!$B$4:$CZ$4"),0),0)</f>
        <v>6.5</v>
      </c>
      <c r="W14" s="249">
        <f ca="1">VLOOKUP($B14,INDIRECT($AJ$4&amp;"!$B$6:$CZ$333"),MATCH('TN1'!W$8,INDIRECT($AJ$4&amp;"!$B$4:$CZ$4"),0),0)</f>
        <v>8.5</v>
      </c>
      <c r="X14" s="249">
        <f ca="1">VLOOKUP($B14,INDIRECT($AJ$4&amp;"!$B$6:$CZ$333"),MATCH('TN1'!X$8,INDIRECT($AJ$4&amp;"!$B$4:$CZ$4"),0),0)</f>
        <v>8.4</v>
      </c>
      <c r="Y14" s="249">
        <f ca="1">VLOOKUP($B14,INDIRECT($AJ$4&amp;"!$B$6:$CZ$333"),MATCH('TN1'!Y$8,INDIRECT($AJ$4&amp;"!$B$4:$CZ$4"),0),0)</f>
        <v>7</v>
      </c>
      <c r="Z14" s="249">
        <f ca="1">VLOOKUP($B14,INDIRECT($AJ$4&amp;"!$B$6:$CZ$333"),MATCH('TN1'!Z$8,INDIRECT($AJ$4&amp;"!$B$4:$CZ$4"),0),0)</f>
        <v>7</v>
      </c>
      <c r="AA14" s="250">
        <f t="shared" ca="1" si="7"/>
        <v>54</v>
      </c>
      <c r="AB14" s="251">
        <f t="shared" ca="1" si="8"/>
        <v>7.77</v>
      </c>
      <c r="AC14" s="244">
        <f t="shared" ca="1" si="9"/>
        <v>0</v>
      </c>
      <c r="AD14" s="244">
        <f t="shared" ca="1" si="10"/>
        <v>0</v>
      </c>
      <c r="AE14" s="244" t="s">
        <v>201</v>
      </c>
      <c r="AF14" s="244" t="str">
        <f t="shared" ca="1" si="11"/>
        <v>ĐỦ ĐK</v>
      </c>
      <c r="AG14" s="252"/>
      <c r="AH14" s="254">
        <v>44311</v>
      </c>
      <c r="AI14" s="254"/>
    </row>
    <row r="15" spans="1:36" s="253" customFormat="1" ht="24.95" customHeight="1">
      <c r="A15" s="244">
        <v>4</v>
      </c>
      <c r="B15" s="245">
        <v>25311106121</v>
      </c>
      <c r="C15" s="246" t="str">
        <f t="shared" ca="1" si="3"/>
        <v>Trương Ngọc</v>
      </c>
      <c r="D15" s="247" t="str">
        <f t="shared" ca="1" si="4"/>
        <v>Minh</v>
      </c>
      <c r="E15" s="248">
        <f t="shared" ca="1" si="5"/>
        <v>34618</v>
      </c>
      <c r="F15" s="248" t="str">
        <f t="shared" ca="1" si="6"/>
        <v>Đà Nẵng</v>
      </c>
      <c r="G15" s="249">
        <f ca="1">VLOOKUP($B15,INDIRECT($AJ$4&amp;"!$B$6:$CZ$333"),MATCH('TN1'!G$8,INDIRECT($AJ$4&amp;"!$B$4:$CZ$4"),0),0)</f>
        <v>6.9</v>
      </c>
      <c r="H15" s="249">
        <f ca="1">VLOOKUP($B15,INDIRECT($AJ$4&amp;"!$B$6:$CZ$333"),MATCH('TN1'!H$8,INDIRECT($AJ$4&amp;"!$B$4:$CZ$4"),0),0)</f>
        <v>7.2</v>
      </c>
      <c r="I15" s="249">
        <f ca="1">VLOOKUP($B15,INDIRECT($AJ$4&amp;"!$B$6:$CZ$333"),MATCH('TN1'!I$8,INDIRECT($AJ$4&amp;"!$B$4:$CZ$4"),0),0)</f>
        <v>7.4</v>
      </c>
      <c r="J15" s="249">
        <f ca="1">VLOOKUP($B15,INDIRECT($AJ$4&amp;"!$B$6:$CZ$333"),MATCH('TN1'!J$8,INDIRECT($AJ$4&amp;"!$B$4:$CZ$4"),0),0)</f>
        <v>8.1</v>
      </c>
      <c r="K15" s="249">
        <f ca="1">VLOOKUP($B15,INDIRECT($AJ$4&amp;"!$B$6:$CZ$333"),MATCH('TN1'!K$8,INDIRECT($AJ$4&amp;"!$B$4:$CZ$4"),0),0)</f>
        <v>7.4</v>
      </c>
      <c r="L15" s="249">
        <f ca="1">VLOOKUP($B15,INDIRECT($AJ$4&amp;"!$B$6:$CZ$333"),MATCH('TN1'!L$8,INDIRECT($AJ$4&amp;"!$B$4:$CZ$4"),0),0)</f>
        <v>7.6</v>
      </c>
      <c r="M15" s="249">
        <f ca="1">VLOOKUP($B15,INDIRECT($AJ$4&amp;"!$B$6:$CZ$333"),MATCH('TN1'!M$8,INDIRECT($AJ$4&amp;"!$B$4:$CZ$4"),0),0)</f>
        <v>9</v>
      </c>
      <c r="N15" s="249">
        <f ca="1">VLOOKUP($B15,INDIRECT($AJ$4&amp;"!$B$6:$CZ$333"),MATCH('TN1'!N$8,INDIRECT($AJ$4&amp;"!$B$4:$CZ$4"),0),0)</f>
        <v>7.7</v>
      </c>
      <c r="O15" s="249">
        <f ca="1">VLOOKUP($B15,INDIRECT($AJ$4&amp;"!$B$6:$CZ$333"),MATCH('TN1'!O$8,INDIRECT($AJ$4&amp;"!$B$4:$CZ$4"),0),0)</f>
        <v>8.6</v>
      </c>
      <c r="P15" s="249">
        <f ca="1">VLOOKUP($B15,INDIRECT($AJ$4&amp;"!$B$6:$CZ$333"),MATCH('TN1'!P$8,INDIRECT($AJ$4&amp;"!$B$4:$CZ$4"),0),0)</f>
        <v>6.9</v>
      </c>
      <c r="Q15" s="249">
        <f ca="1">VLOOKUP($B15,INDIRECT($AJ$4&amp;"!$B$6:$CZ$333"),MATCH('TN1'!Q$8,INDIRECT($AJ$4&amp;"!$B$4:$CZ$4"),0),0)</f>
        <v>8</v>
      </c>
      <c r="R15" s="249">
        <f ca="1">VLOOKUP($B15,INDIRECT($AJ$4&amp;"!$B$6:$CZ$333"),MATCH('TN1'!R$8,INDIRECT($AJ$4&amp;"!$B$4:$CZ$4"),0),0)</f>
        <v>7.8</v>
      </c>
      <c r="S15" s="249">
        <f ca="1">VLOOKUP($B15,INDIRECT($AJ$4&amp;"!$B$6:$CZ$333"),MATCH('TN1'!S$8,INDIRECT($AJ$4&amp;"!$B$4:$CZ$4"),0),0)</f>
        <v>7.1</v>
      </c>
      <c r="T15" s="249">
        <f ca="1">VLOOKUP($B15,INDIRECT($AJ$4&amp;"!$B$6:$CZ$333"),MATCH('TN1'!T$8,INDIRECT($AJ$4&amp;"!$B$4:$CZ$4"),0),0)</f>
        <v>8.8000000000000007</v>
      </c>
      <c r="U15" s="249">
        <f ca="1">VLOOKUP($B15,INDIRECT($AJ$4&amp;"!$B$6:$CZ$333"),MATCH('TN1'!U$8,INDIRECT($AJ$4&amp;"!$B$4:$CZ$4"),0),0)</f>
        <v>9</v>
      </c>
      <c r="V15" s="249">
        <f ca="1">VLOOKUP($B15,INDIRECT($AJ$4&amp;"!$B$6:$CZ$333"),MATCH('TN1'!V$8,INDIRECT($AJ$4&amp;"!$B$4:$CZ$4"),0),0)</f>
        <v>6.6</v>
      </c>
      <c r="W15" s="249">
        <f ca="1">VLOOKUP($B15,INDIRECT($AJ$4&amp;"!$B$6:$CZ$333"),MATCH('TN1'!W$8,INDIRECT($AJ$4&amp;"!$B$4:$CZ$4"),0),0)</f>
        <v>9</v>
      </c>
      <c r="X15" s="249">
        <f ca="1">VLOOKUP($B15,INDIRECT($AJ$4&amp;"!$B$6:$CZ$333"),MATCH('TN1'!X$8,INDIRECT($AJ$4&amp;"!$B$4:$CZ$4"),0),0)</f>
        <v>7.8</v>
      </c>
      <c r="Y15" s="249">
        <f ca="1">VLOOKUP($B15,INDIRECT($AJ$4&amp;"!$B$6:$CZ$333"),MATCH('TN1'!Y$8,INDIRECT($AJ$4&amp;"!$B$4:$CZ$4"),0),0)</f>
        <v>7.9</v>
      </c>
      <c r="Z15" s="249">
        <f ca="1">VLOOKUP($B15,INDIRECT($AJ$4&amp;"!$B$6:$CZ$333"),MATCH('TN1'!Z$8,INDIRECT($AJ$4&amp;"!$B$4:$CZ$4"),0),0)</f>
        <v>8</v>
      </c>
      <c r="AA15" s="250">
        <f t="shared" ca="1" si="7"/>
        <v>54</v>
      </c>
      <c r="AB15" s="251">
        <f t="shared" ca="1" si="8"/>
        <v>7.88</v>
      </c>
      <c r="AC15" s="244">
        <f t="shared" ca="1" si="9"/>
        <v>0</v>
      </c>
      <c r="AD15" s="244">
        <f t="shared" ca="1" si="10"/>
        <v>0</v>
      </c>
      <c r="AE15" s="244" t="s">
        <v>201</v>
      </c>
      <c r="AF15" s="244" t="str">
        <f t="shared" ca="1" si="11"/>
        <v>ĐỦ ĐK</v>
      </c>
      <c r="AG15" s="252"/>
      <c r="AH15" s="254">
        <v>44311</v>
      </c>
      <c r="AI15" s="254"/>
    </row>
    <row r="16" spans="1:36" s="253" customFormat="1" ht="24.95" customHeight="1">
      <c r="A16" s="244">
        <v>5</v>
      </c>
      <c r="B16" s="245">
        <v>25311106124</v>
      </c>
      <c r="C16" s="246" t="str">
        <f ca="1">VLOOKUP($B16,INDIRECT($AJ$4&amp;"!$B$6:$G$333"),2,0)</f>
        <v>Trần Thanh</v>
      </c>
      <c r="D16" s="247" t="str">
        <f ca="1">VLOOKUP($B16,INDIRECT($AJ$4&amp;"!$B$6:$G$333"),3,0)</f>
        <v>Sơn</v>
      </c>
      <c r="E16" s="248">
        <f ca="1">VLOOKUP($B16,INDIRECT($AJ$4&amp;"!$B$6:$G$333"),5,0)</f>
        <v>29906</v>
      </c>
      <c r="F16" s="248" t="str">
        <f ca="1">VLOOKUP($B16,INDIRECT($AJ$4&amp;"!$B$6:$G$333"),6,0)</f>
        <v>Quảng Nam</v>
      </c>
      <c r="G16" s="249">
        <f ca="1">VLOOKUP($B16,INDIRECT($AJ$4&amp;"!$B$6:$CZ$333"),MATCH('TN1'!G$8,INDIRECT($AJ$4&amp;"!$B$4:$CZ$4"),0),0)</f>
        <v>6.9</v>
      </c>
      <c r="H16" s="249">
        <f ca="1">VLOOKUP($B16,INDIRECT($AJ$4&amp;"!$B$6:$CZ$333"),MATCH('TN1'!H$8,INDIRECT($AJ$4&amp;"!$B$4:$CZ$4"),0),0)</f>
        <v>8.1999999999999993</v>
      </c>
      <c r="I16" s="249">
        <f ca="1">VLOOKUP($B16,INDIRECT($AJ$4&amp;"!$B$6:$CZ$333"),MATCH('TN1'!I$8,INDIRECT($AJ$4&amp;"!$B$4:$CZ$4"),0),0)</f>
        <v>8.6</v>
      </c>
      <c r="J16" s="249">
        <f ca="1">VLOOKUP($B16,INDIRECT($AJ$4&amp;"!$B$6:$CZ$333"),MATCH('TN1'!J$8,INDIRECT($AJ$4&amp;"!$B$4:$CZ$4"),0),0)</f>
        <v>8.3000000000000007</v>
      </c>
      <c r="K16" s="249">
        <f ca="1">VLOOKUP($B16,INDIRECT($AJ$4&amp;"!$B$6:$CZ$333"),MATCH('TN1'!K$8,INDIRECT($AJ$4&amp;"!$B$4:$CZ$4"),0),0)</f>
        <v>8</v>
      </c>
      <c r="L16" s="249">
        <f ca="1">VLOOKUP($B16,INDIRECT($AJ$4&amp;"!$B$6:$CZ$333"),MATCH('TN1'!L$8,INDIRECT($AJ$4&amp;"!$B$4:$CZ$4"),0),0)</f>
        <v>7.6</v>
      </c>
      <c r="M16" s="249">
        <f ca="1">VLOOKUP($B16,INDIRECT($AJ$4&amp;"!$B$6:$CZ$333"),MATCH('TN1'!M$8,INDIRECT($AJ$4&amp;"!$B$4:$CZ$4"),0),0)</f>
        <v>9.3000000000000007</v>
      </c>
      <c r="N16" s="249">
        <f ca="1">VLOOKUP($B16,INDIRECT($AJ$4&amp;"!$B$6:$CZ$333"),MATCH('TN1'!N$8,INDIRECT($AJ$4&amp;"!$B$4:$CZ$4"),0),0)</f>
        <v>8</v>
      </c>
      <c r="O16" s="249">
        <f ca="1">VLOOKUP($B16,INDIRECT($AJ$4&amp;"!$B$6:$CZ$333"),MATCH('TN1'!O$8,INDIRECT($AJ$4&amp;"!$B$4:$CZ$4"),0),0)</f>
        <v>8.1999999999999993</v>
      </c>
      <c r="P16" s="249">
        <f ca="1">VLOOKUP($B16,INDIRECT($AJ$4&amp;"!$B$6:$CZ$333"),MATCH('TN1'!P$8,INDIRECT($AJ$4&amp;"!$B$4:$CZ$4"),0),0)</f>
        <v>6.9</v>
      </c>
      <c r="Q16" s="249">
        <f ca="1">VLOOKUP($B16,INDIRECT($AJ$4&amp;"!$B$6:$CZ$333"),MATCH('TN1'!Q$8,INDIRECT($AJ$4&amp;"!$B$4:$CZ$4"),0),0)</f>
        <v>8</v>
      </c>
      <c r="R16" s="249">
        <f ca="1">VLOOKUP($B16,INDIRECT($AJ$4&amp;"!$B$6:$CZ$333"),MATCH('TN1'!R$8,INDIRECT($AJ$4&amp;"!$B$4:$CZ$4"),0),0)</f>
        <v>8.3000000000000007</v>
      </c>
      <c r="S16" s="249">
        <f ca="1">VLOOKUP($B16,INDIRECT($AJ$4&amp;"!$B$6:$CZ$333"),MATCH('TN1'!S$8,INDIRECT($AJ$4&amp;"!$B$4:$CZ$4"),0),0)</f>
        <v>7.7</v>
      </c>
      <c r="T16" s="249">
        <f ca="1">VLOOKUP($B16,INDIRECT($AJ$4&amp;"!$B$6:$CZ$333"),MATCH('TN1'!T$8,INDIRECT($AJ$4&amp;"!$B$4:$CZ$4"),0),0)</f>
        <v>9</v>
      </c>
      <c r="U16" s="249">
        <f ca="1">VLOOKUP($B16,INDIRECT($AJ$4&amp;"!$B$6:$CZ$333"),MATCH('TN1'!U$8,INDIRECT($AJ$4&amp;"!$B$4:$CZ$4"),0),0)</f>
        <v>8.9</v>
      </c>
      <c r="V16" s="249">
        <f ca="1">VLOOKUP($B16,INDIRECT($AJ$4&amp;"!$B$6:$CZ$333"),MATCH('TN1'!V$8,INDIRECT($AJ$4&amp;"!$B$4:$CZ$4"),0),0)</f>
        <v>7</v>
      </c>
      <c r="W16" s="249">
        <f ca="1">VLOOKUP($B16,INDIRECT($AJ$4&amp;"!$B$6:$CZ$333"),MATCH('TN1'!W$8,INDIRECT($AJ$4&amp;"!$B$4:$CZ$4"),0),0)</f>
        <v>9</v>
      </c>
      <c r="X16" s="249">
        <f ca="1">VLOOKUP($B16,INDIRECT($AJ$4&amp;"!$B$6:$CZ$333"),MATCH('TN1'!X$8,INDIRECT($AJ$4&amp;"!$B$4:$CZ$4"),0),0)</f>
        <v>7.7</v>
      </c>
      <c r="Y16" s="249">
        <f ca="1">VLOOKUP($B16,INDIRECT($AJ$4&amp;"!$B$6:$CZ$333"),MATCH('TN1'!Y$8,INDIRECT($AJ$4&amp;"!$B$4:$CZ$4"),0),0)</f>
        <v>7.9</v>
      </c>
      <c r="Z16" s="249">
        <f ca="1">VLOOKUP($B16,INDIRECT($AJ$4&amp;"!$B$6:$CZ$333"),MATCH('TN1'!Z$8,INDIRECT($AJ$4&amp;"!$B$4:$CZ$4"),0),0)</f>
        <v>8.1</v>
      </c>
      <c r="AA16" s="250">
        <f ca="1">SUMIF(G16:Z16,"&gt;=0",$G$10:$Z$10)</f>
        <v>54</v>
      </c>
      <c r="AB16" s="251">
        <f ca="1">ROUND(SUMPRODUCT(G16:Z16,$G$10:$Z$10)/$AA16,2)</f>
        <v>8.11</v>
      </c>
      <c r="AC16" s="244">
        <f ca="1">SUMIF(G16:Z16,"&lt;4",$G$6:$Z$6)</f>
        <v>0</v>
      </c>
      <c r="AD16" s="244">
        <f ca="1">SUMIF(G16:Z16,"&lt;4",$G$7:$Z$7)</f>
        <v>0</v>
      </c>
      <c r="AE16" s="244" t="s">
        <v>201</v>
      </c>
      <c r="AF16" s="244" t="str">
        <f ca="1">IF(AND(AD16=0,AE16="ĐẠT",AB16&gt;=5.5),"ĐỦ ĐK","KO ĐỦ")</f>
        <v>ĐỦ ĐK</v>
      </c>
      <c r="AG16" s="252"/>
      <c r="AH16" s="254">
        <v>44311</v>
      </c>
      <c r="AI16" s="254"/>
    </row>
    <row r="17" spans="1:98" s="253" customFormat="1" ht="24.95" customHeight="1">
      <c r="A17" s="244">
        <v>6</v>
      </c>
      <c r="B17" s="245">
        <v>25301106130</v>
      </c>
      <c r="C17" s="246" t="str">
        <f ca="1">VLOOKUP($B17,INDIRECT($AJ$4&amp;"!$B$6:$G$333"),2,0)</f>
        <v>Ngô Ái</v>
      </c>
      <c r="D17" s="247" t="str">
        <f ca="1">VLOOKUP($B17,INDIRECT($AJ$4&amp;"!$B$6:$G$333"),3,0)</f>
        <v>Vân</v>
      </c>
      <c r="E17" s="248" t="str">
        <f ca="1">VLOOKUP($B17,INDIRECT($AJ$4&amp;"!$B$6:$G$333"),5,0)</f>
        <v>18/10/1979</v>
      </c>
      <c r="F17" s="248" t="str">
        <f ca="1">VLOOKUP($B17,INDIRECT($AJ$4&amp;"!$B$6:$G$333"),6,0)</f>
        <v>Quảng Nam</v>
      </c>
      <c r="G17" s="249">
        <f ca="1">VLOOKUP($B17,INDIRECT($AJ$4&amp;"!$B$6:$CZ$333"),MATCH('TN1'!G$8,INDIRECT($AJ$4&amp;"!$B$4:$CZ$4"),0),0)</f>
        <v>6.6</v>
      </c>
      <c r="H17" s="249" t="str">
        <f ca="1">VLOOKUP($B17,INDIRECT($AJ$4&amp;"!$B$6:$CZ$333"),MATCH('TN1'!H$8,INDIRECT($AJ$4&amp;"!$B$4:$CZ$4"),0),0)</f>
        <v>P</v>
      </c>
      <c r="I17" s="249" t="str">
        <f ca="1">VLOOKUP($B17,INDIRECT($AJ$4&amp;"!$B$6:$CZ$333"),MATCH('TN1'!I$8,INDIRECT($AJ$4&amp;"!$B$4:$CZ$4"),0),0)</f>
        <v>P</v>
      </c>
      <c r="J17" s="249">
        <f ca="1">VLOOKUP($B17,INDIRECT($AJ$4&amp;"!$B$6:$CZ$333"),MATCH('TN1'!J$8,INDIRECT($AJ$4&amp;"!$B$4:$CZ$4"),0),0)</f>
        <v>8.3000000000000007</v>
      </c>
      <c r="K17" s="249">
        <f ca="1">VLOOKUP($B17,INDIRECT($AJ$4&amp;"!$B$6:$CZ$333"),MATCH('TN1'!K$8,INDIRECT($AJ$4&amp;"!$B$4:$CZ$4"),0),0)</f>
        <v>7.6</v>
      </c>
      <c r="L17" s="249">
        <f ca="1">VLOOKUP($B17,INDIRECT($AJ$4&amp;"!$B$6:$CZ$333"),MATCH('TN1'!L$8,INDIRECT($AJ$4&amp;"!$B$4:$CZ$4"),0),0)</f>
        <v>7.6</v>
      </c>
      <c r="M17" s="249">
        <f ca="1">VLOOKUP($B17,INDIRECT($AJ$4&amp;"!$B$6:$CZ$333"),MATCH('TN1'!M$8,INDIRECT($AJ$4&amp;"!$B$4:$CZ$4"),0),0)</f>
        <v>8.3000000000000007</v>
      </c>
      <c r="N17" s="249">
        <f ca="1">VLOOKUP($B17,INDIRECT($AJ$4&amp;"!$B$6:$CZ$333"),MATCH('TN1'!N$8,INDIRECT($AJ$4&amp;"!$B$4:$CZ$4"),0),0)</f>
        <v>8</v>
      </c>
      <c r="O17" s="249">
        <f ca="1">VLOOKUP($B17,INDIRECT($AJ$4&amp;"!$B$6:$CZ$333"),MATCH('TN1'!O$8,INDIRECT($AJ$4&amp;"!$B$4:$CZ$4"),0),0)</f>
        <v>7.1</v>
      </c>
      <c r="P17" s="249">
        <f ca="1">VLOOKUP($B17,INDIRECT($AJ$4&amp;"!$B$6:$CZ$333"),MATCH('TN1'!P$8,INDIRECT($AJ$4&amp;"!$B$4:$CZ$4"),0),0)</f>
        <v>6.9</v>
      </c>
      <c r="Q17" s="249">
        <f ca="1">VLOOKUP($B17,INDIRECT($AJ$4&amp;"!$B$6:$CZ$333"),MATCH('TN1'!Q$8,INDIRECT($AJ$4&amp;"!$B$4:$CZ$4"),0),0)</f>
        <v>7.7</v>
      </c>
      <c r="R17" s="249">
        <f ca="1">VLOOKUP($B17,INDIRECT($AJ$4&amp;"!$B$6:$CZ$333"),MATCH('TN1'!R$8,INDIRECT($AJ$4&amp;"!$B$4:$CZ$4"),0),0)</f>
        <v>8.1999999999999993</v>
      </c>
      <c r="S17" s="249">
        <f ca="1">VLOOKUP($B17,INDIRECT($AJ$4&amp;"!$B$6:$CZ$333"),MATCH('TN1'!S$8,INDIRECT($AJ$4&amp;"!$B$4:$CZ$4"),0),0)</f>
        <v>7.2</v>
      </c>
      <c r="T17" s="249">
        <f ca="1">VLOOKUP($B17,INDIRECT($AJ$4&amp;"!$B$6:$CZ$333"),MATCH('TN1'!T$8,INDIRECT($AJ$4&amp;"!$B$4:$CZ$4"),0),0)</f>
        <v>8</v>
      </c>
      <c r="U17" s="249">
        <f ca="1">VLOOKUP($B17,INDIRECT($AJ$4&amp;"!$B$6:$CZ$333"),MATCH('TN1'!U$8,INDIRECT($AJ$4&amp;"!$B$4:$CZ$4"),0),0)</f>
        <v>9</v>
      </c>
      <c r="V17" s="249">
        <f ca="1">VLOOKUP($B17,INDIRECT($AJ$4&amp;"!$B$6:$CZ$333"),MATCH('TN1'!V$8,INDIRECT($AJ$4&amp;"!$B$4:$CZ$4"),0),0)</f>
        <v>7.3</v>
      </c>
      <c r="W17" s="249">
        <f ca="1">VLOOKUP($B17,INDIRECT($AJ$4&amp;"!$B$6:$CZ$333"),MATCH('TN1'!W$8,INDIRECT($AJ$4&amp;"!$B$4:$CZ$4"),0),0)</f>
        <v>8.6</v>
      </c>
      <c r="X17" s="249">
        <f ca="1">VLOOKUP($B17,INDIRECT($AJ$4&amp;"!$B$6:$CZ$333"),MATCH('TN1'!X$8,INDIRECT($AJ$4&amp;"!$B$4:$CZ$4"),0),0)</f>
        <v>7.7</v>
      </c>
      <c r="Y17" s="249">
        <f ca="1">VLOOKUP($B17,INDIRECT($AJ$4&amp;"!$B$6:$CZ$333"),MATCH('TN1'!Y$8,INDIRECT($AJ$4&amp;"!$B$4:$CZ$4"),0),0)</f>
        <v>8.3000000000000007</v>
      </c>
      <c r="Z17" s="249">
        <f ca="1">VLOOKUP($B17,INDIRECT($AJ$4&amp;"!$B$6:$CZ$333"),MATCH('TN1'!Z$8,INDIRECT($AJ$4&amp;"!$B$4:$CZ$4"),0),0)</f>
        <v>7.1</v>
      </c>
      <c r="AA17" s="250">
        <f ca="1">SUMIF(G17:Z17,"&gt;=0",$G$10:$Z$10)</f>
        <v>48</v>
      </c>
      <c r="AB17" s="251">
        <f ca="1">ROUND(SUMPRODUCT(G17:Z17,$G$10:$Z$10)/$AA17,2)</f>
        <v>7.76</v>
      </c>
      <c r="AC17" s="244">
        <f ca="1">SUMIF(G17:Z17,"&lt;4",$G$6:$Z$6)</f>
        <v>0</v>
      </c>
      <c r="AD17" s="244">
        <f ca="1">SUMIF(G17:Z17,"&lt;4",$G$7:$Z$7)</f>
        <v>0</v>
      </c>
      <c r="AE17" s="244" t="s">
        <v>201</v>
      </c>
      <c r="AF17" s="244" t="str">
        <f ca="1">IF(AND(AD17=0,AE17="ĐẠT",AB17&gt;=5.5),"ĐỦ ĐK","KO ĐỦ")</f>
        <v>ĐỦ ĐK</v>
      </c>
      <c r="AG17" s="252"/>
      <c r="AH17" s="254">
        <v>44311</v>
      </c>
      <c r="AI17" s="254"/>
    </row>
    <row r="18" spans="1:98" s="253" customFormat="1" ht="24.95" hidden="1" customHeight="1">
      <c r="A18" s="244"/>
      <c r="B18" s="245"/>
      <c r="C18" s="246"/>
      <c r="D18" s="247"/>
      <c r="E18" s="248"/>
      <c r="F18" s="248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50"/>
      <c r="AB18" s="251"/>
      <c r="AC18" s="244"/>
      <c r="AD18" s="244"/>
      <c r="AE18" s="244"/>
      <c r="AF18" s="244"/>
      <c r="AG18" s="252"/>
      <c r="AI18" s="254"/>
    </row>
    <row r="19" spans="1:98" s="253" customFormat="1" ht="24.95" hidden="1" customHeight="1">
      <c r="A19" s="244"/>
      <c r="B19" s="245"/>
      <c r="C19" s="246"/>
      <c r="D19" s="247"/>
      <c r="E19" s="248"/>
      <c r="F19" s="248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50"/>
      <c r="AB19" s="251"/>
      <c r="AC19" s="244"/>
      <c r="AD19" s="244"/>
      <c r="AE19" s="244"/>
      <c r="AF19" s="244"/>
      <c r="AG19" s="252"/>
      <c r="AI19" s="254"/>
    </row>
    <row r="20" spans="1:98" s="228" customFormat="1" ht="24.95" hidden="1" customHeight="1">
      <c r="A20" s="218">
        <v>5</v>
      </c>
      <c r="B20" s="219">
        <v>25301106122</v>
      </c>
      <c r="C20" s="220" t="str">
        <f t="shared" ca="1" si="3"/>
        <v>Nguyễn Thị Yến</v>
      </c>
      <c r="D20" s="221" t="str">
        <f t="shared" ca="1" si="4"/>
        <v>Nga</v>
      </c>
      <c r="E20" s="222" t="str">
        <f t="shared" ca="1" si="5"/>
        <v>20/11/1986</v>
      </c>
      <c r="F20" s="222" t="str">
        <f t="shared" ca="1" si="6"/>
        <v>Quảng Nam</v>
      </c>
      <c r="G20" s="223">
        <f ca="1">VLOOKUP($B20,INDIRECT($AJ$4&amp;"!$B$6:$CZ$333"),MATCH('TN1'!G$8,INDIRECT($AJ$4&amp;"!$B$4:$CZ$4"),0),0)</f>
        <v>8</v>
      </c>
      <c r="H20" s="223">
        <f ca="1">VLOOKUP($B20,INDIRECT($AJ$4&amp;"!$B$6:$CZ$333"),MATCH('TN1'!H$8,INDIRECT($AJ$4&amp;"!$B$4:$CZ$4"),0),0)</f>
        <v>8.5</v>
      </c>
      <c r="I20" s="223">
        <f ca="1">VLOOKUP($B20,INDIRECT($AJ$4&amp;"!$B$6:$CZ$333"),MATCH('TN1'!I$8,INDIRECT($AJ$4&amp;"!$B$4:$CZ$4"),0),0)</f>
        <v>8.3000000000000007</v>
      </c>
      <c r="J20" s="223">
        <f ca="1">VLOOKUP($B20,INDIRECT($AJ$4&amp;"!$B$6:$CZ$333"),MATCH('TN1'!J$8,INDIRECT($AJ$4&amp;"!$B$4:$CZ$4"),0),0)</f>
        <v>9.1</v>
      </c>
      <c r="K20" s="223">
        <f ca="1">VLOOKUP($B20,INDIRECT($AJ$4&amp;"!$B$6:$CZ$333"),MATCH('TN1'!K$8,INDIRECT($AJ$4&amp;"!$B$4:$CZ$4"),0),0)</f>
        <v>7.3</v>
      </c>
      <c r="L20" s="223">
        <f ca="1">VLOOKUP($B20,INDIRECT($AJ$4&amp;"!$B$6:$CZ$333"),MATCH('TN1'!L$8,INDIRECT($AJ$4&amp;"!$B$4:$CZ$4"),0),0)</f>
        <v>8</v>
      </c>
      <c r="M20" s="223">
        <f ca="1">VLOOKUP($B20,INDIRECT($AJ$4&amp;"!$B$6:$CZ$333"),MATCH('TN1'!M$8,INDIRECT($AJ$4&amp;"!$B$4:$CZ$4"),0),0)</f>
        <v>9.3000000000000007</v>
      </c>
      <c r="N20" s="223">
        <f ca="1">VLOOKUP($B20,INDIRECT($AJ$4&amp;"!$B$6:$CZ$333"),MATCH('TN1'!N$8,INDIRECT($AJ$4&amp;"!$B$4:$CZ$4"),0),0)</f>
        <v>7.6</v>
      </c>
      <c r="O20" s="223">
        <f ca="1">VLOOKUP($B20,INDIRECT($AJ$4&amp;"!$B$6:$CZ$333"),MATCH('TN1'!O$8,INDIRECT($AJ$4&amp;"!$B$4:$CZ$4"),0),0)</f>
        <v>7.8</v>
      </c>
      <c r="P20" s="223">
        <f ca="1">VLOOKUP($B20,INDIRECT($AJ$4&amp;"!$B$6:$CZ$333"),MATCH('TN1'!P$8,INDIRECT($AJ$4&amp;"!$B$4:$CZ$4"),0),0)</f>
        <v>8.6999999999999993</v>
      </c>
      <c r="Q20" s="223">
        <f ca="1">VLOOKUP($B20,INDIRECT($AJ$4&amp;"!$B$6:$CZ$333"),MATCH('TN1'!Q$8,INDIRECT($AJ$4&amp;"!$B$4:$CZ$4"),0),0)</f>
        <v>8.5</v>
      </c>
      <c r="R20" s="223">
        <f ca="1">VLOOKUP($B20,INDIRECT($AJ$4&amp;"!$B$6:$CZ$333"),MATCH('TN1'!R$8,INDIRECT($AJ$4&amp;"!$B$4:$CZ$4"),0),0)</f>
        <v>8.3000000000000007</v>
      </c>
      <c r="S20" s="223">
        <f ca="1">VLOOKUP($B20,INDIRECT($AJ$4&amp;"!$B$6:$CZ$333"),MATCH('TN1'!S$8,INDIRECT($AJ$4&amp;"!$B$4:$CZ$4"),0),0)</f>
        <v>7.7</v>
      </c>
      <c r="T20" s="223">
        <f ca="1">VLOOKUP($B20,INDIRECT($AJ$4&amp;"!$B$6:$CZ$333"),MATCH('TN1'!T$8,INDIRECT($AJ$4&amp;"!$B$4:$CZ$4"),0),0)</f>
        <v>7.7</v>
      </c>
      <c r="U20" s="223">
        <f ca="1">VLOOKUP($B20,INDIRECT($AJ$4&amp;"!$B$6:$CZ$333"),MATCH('TN1'!U$8,INDIRECT($AJ$4&amp;"!$B$4:$CZ$4"),0),0)</f>
        <v>9</v>
      </c>
      <c r="V20" s="223">
        <f ca="1">VLOOKUP($B20,INDIRECT($AJ$4&amp;"!$B$6:$CZ$333"),MATCH('TN1'!V$8,INDIRECT($AJ$4&amp;"!$B$4:$CZ$4"),0),0)</f>
        <v>7.6</v>
      </c>
      <c r="W20" s="223">
        <f ca="1">VLOOKUP($B20,INDIRECT($AJ$4&amp;"!$B$6:$CZ$333"),MATCH('TN1'!W$8,INDIRECT($AJ$4&amp;"!$B$4:$CZ$4"),0),0)</f>
        <v>9</v>
      </c>
      <c r="X20" s="223">
        <f ca="1">VLOOKUP($B20,INDIRECT($AJ$4&amp;"!$B$6:$CZ$333"),MATCH('TN1'!X$8,INDIRECT($AJ$4&amp;"!$B$4:$CZ$4"),0),0)</f>
        <v>8.5</v>
      </c>
      <c r="Y20" s="223">
        <f ca="1">VLOOKUP($B20,INDIRECT($AJ$4&amp;"!$B$6:$CZ$333"),MATCH('TN1'!Y$8,INDIRECT($AJ$4&amp;"!$B$4:$CZ$4"),0),0)</f>
        <v>8.6</v>
      </c>
      <c r="Z20" s="223">
        <f ca="1">VLOOKUP($B20,INDIRECT($AJ$4&amp;"!$B$6:$CZ$333"),MATCH('TN1'!Z$8,INDIRECT($AJ$4&amp;"!$B$4:$CZ$4"),0),0)</f>
        <v>7.5</v>
      </c>
      <c r="AA20" s="224">
        <f t="shared" ca="1" si="7"/>
        <v>54</v>
      </c>
      <c r="AB20" s="225">
        <f t="shared" ca="1" si="8"/>
        <v>8.31</v>
      </c>
      <c r="AC20" s="226">
        <f t="shared" ca="1" si="9"/>
        <v>0</v>
      </c>
      <c r="AD20" s="226">
        <f t="shared" ca="1" si="10"/>
        <v>0</v>
      </c>
      <c r="AE20" s="226" t="s">
        <v>201</v>
      </c>
      <c r="AF20" s="226" t="str">
        <f t="shared" ca="1" si="11"/>
        <v>ĐỦ ĐK</v>
      </c>
      <c r="AG20" s="227"/>
      <c r="AI20" s="229"/>
    </row>
    <row r="21" spans="1:98" s="228" customFormat="1" ht="24.95" hidden="1" customHeight="1">
      <c r="A21" s="218">
        <v>6</v>
      </c>
      <c r="B21" s="219">
        <v>25301106123</v>
      </c>
      <c r="C21" s="220" t="str">
        <f t="shared" ca="1" si="3"/>
        <v>Phạm Thị Mỹ</v>
      </c>
      <c r="D21" s="221" t="str">
        <f t="shared" ca="1" si="4"/>
        <v>Sen</v>
      </c>
      <c r="E21" s="222">
        <f t="shared" ca="1" si="5"/>
        <v>29224</v>
      </c>
      <c r="F21" s="222" t="str">
        <f t="shared" ca="1" si="6"/>
        <v>Quảng Nam</v>
      </c>
      <c r="G21" s="223">
        <f ca="1">VLOOKUP($B21,INDIRECT($AJ$4&amp;"!$B$6:$CZ$333"),MATCH('TN1'!G$8,INDIRECT($AJ$4&amp;"!$B$4:$CZ$4"),0),0)</f>
        <v>6.9</v>
      </c>
      <c r="H21" s="223">
        <f ca="1">VLOOKUP($B21,INDIRECT($AJ$4&amp;"!$B$6:$CZ$333"),MATCH('TN1'!H$8,INDIRECT($AJ$4&amp;"!$B$4:$CZ$4"),0),0)</f>
        <v>8.3000000000000007</v>
      </c>
      <c r="I21" s="223">
        <f ca="1">VLOOKUP($B21,INDIRECT($AJ$4&amp;"!$B$6:$CZ$333"),MATCH('TN1'!I$8,INDIRECT($AJ$4&amp;"!$B$4:$CZ$4"),0),0)</f>
        <v>8.4</v>
      </c>
      <c r="J21" s="223">
        <f ca="1">VLOOKUP($B21,INDIRECT($AJ$4&amp;"!$B$6:$CZ$333"),MATCH('TN1'!J$8,INDIRECT($AJ$4&amp;"!$B$4:$CZ$4"),0),0)</f>
        <v>8.8000000000000007</v>
      </c>
      <c r="K21" s="223">
        <f ca="1">VLOOKUP($B21,INDIRECT($AJ$4&amp;"!$B$6:$CZ$333"),MATCH('TN1'!K$8,INDIRECT($AJ$4&amp;"!$B$4:$CZ$4"),0),0)</f>
        <v>7.6</v>
      </c>
      <c r="L21" s="223">
        <f ca="1">VLOOKUP($B21,INDIRECT($AJ$4&amp;"!$B$6:$CZ$333"),MATCH('TN1'!L$8,INDIRECT($AJ$4&amp;"!$B$4:$CZ$4"),0),0)</f>
        <v>7.6</v>
      </c>
      <c r="M21" s="223">
        <f ca="1">VLOOKUP($B21,INDIRECT($AJ$4&amp;"!$B$6:$CZ$333"),MATCH('TN1'!M$8,INDIRECT($AJ$4&amp;"!$B$4:$CZ$4"),0),0)</f>
        <v>9.3000000000000007</v>
      </c>
      <c r="N21" s="223">
        <f ca="1">VLOOKUP($B21,INDIRECT($AJ$4&amp;"!$B$6:$CZ$333"),MATCH('TN1'!N$8,INDIRECT($AJ$4&amp;"!$B$4:$CZ$4"),0),0)</f>
        <v>7.5</v>
      </c>
      <c r="O21" s="223">
        <f ca="1">VLOOKUP($B21,INDIRECT($AJ$4&amp;"!$B$6:$CZ$333"),MATCH('TN1'!O$8,INDIRECT($AJ$4&amp;"!$B$4:$CZ$4"),0),0)</f>
        <v>7.7</v>
      </c>
      <c r="P21" s="223">
        <f ca="1">VLOOKUP($B21,INDIRECT($AJ$4&amp;"!$B$6:$CZ$333"),MATCH('TN1'!P$8,INDIRECT($AJ$4&amp;"!$B$4:$CZ$4"),0),0)</f>
        <v>6.9</v>
      </c>
      <c r="Q21" s="223">
        <f ca="1">VLOOKUP($B21,INDIRECT($AJ$4&amp;"!$B$6:$CZ$333"),MATCH('TN1'!Q$8,INDIRECT($AJ$4&amp;"!$B$4:$CZ$4"),0),0)</f>
        <v>7.9</v>
      </c>
      <c r="R21" s="223">
        <f ca="1">VLOOKUP($B21,INDIRECT($AJ$4&amp;"!$B$6:$CZ$333"),MATCH('TN1'!R$8,INDIRECT($AJ$4&amp;"!$B$4:$CZ$4"),0),0)</f>
        <v>8.1</v>
      </c>
      <c r="S21" s="223">
        <f ca="1">VLOOKUP($B21,INDIRECT($AJ$4&amp;"!$B$6:$CZ$333"),MATCH('TN1'!S$8,INDIRECT($AJ$4&amp;"!$B$4:$CZ$4"),0),0)</f>
        <v>7.1</v>
      </c>
      <c r="T21" s="223">
        <f ca="1">VLOOKUP($B21,INDIRECT($AJ$4&amp;"!$B$6:$CZ$333"),MATCH('TN1'!T$8,INDIRECT($AJ$4&amp;"!$B$4:$CZ$4"),0),0)</f>
        <v>8.8000000000000007</v>
      </c>
      <c r="U21" s="223">
        <f ca="1">VLOOKUP($B21,INDIRECT($AJ$4&amp;"!$B$6:$CZ$333"),MATCH('TN1'!U$8,INDIRECT($AJ$4&amp;"!$B$4:$CZ$4"),0),0)</f>
        <v>9</v>
      </c>
      <c r="V21" s="223">
        <f ca="1">VLOOKUP($B21,INDIRECT($AJ$4&amp;"!$B$6:$CZ$333"),MATCH('TN1'!V$8,INDIRECT($AJ$4&amp;"!$B$4:$CZ$4"),0),0)</f>
        <v>7</v>
      </c>
      <c r="W21" s="223">
        <f ca="1">VLOOKUP($B21,INDIRECT($AJ$4&amp;"!$B$6:$CZ$333"),MATCH('TN1'!W$8,INDIRECT($AJ$4&amp;"!$B$4:$CZ$4"),0),0)</f>
        <v>8.1</v>
      </c>
      <c r="X21" s="223">
        <f ca="1">VLOOKUP($B21,INDIRECT($AJ$4&amp;"!$B$6:$CZ$333"),MATCH('TN1'!X$8,INDIRECT($AJ$4&amp;"!$B$4:$CZ$4"),0),0)</f>
        <v>7.7</v>
      </c>
      <c r="Y21" s="223">
        <f ca="1">VLOOKUP($B21,INDIRECT($AJ$4&amp;"!$B$6:$CZ$333"),MATCH('TN1'!Y$8,INDIRECT($AJ$4&amp;"!$B$4:$CZ$4"),0),0)</f>
        <v>7.3</v>
      </c>
      <c r="Z21" s="223">
        <f ca="1">VLOOKUP($B21,INDIRECT($AJ$4&amp;"!$B$6:$CZ$333"),MATCH('TN1'!Z$8,INDIRECT($AJ$4&amp;"!$B$4:$CZ$4"),0),0)</f>
        <v>8.5</v>
      </c>
      <c r="AA21" s="224">
        <f t="shared" ca="1" si="7"/>
        <v>54</v>
      </c>
      <c r="AB21" s="225">
        <f t="shared" ca="1" si="8"/>
        <v>7.95</v>
      </c>
      <c r="AC21" s="226">
        <f t="shared" ca="1" si="9"/>
        <v>0</v>
      </c>
      <c r="AD21" s="226">
        <f t="shared" ca="1" si="10"/>
        <v>0</v>
      </c>
      <c r="AE21" s="226" t="s">
        <v>201</v>
      </c>
      <c r="AF21" s="226" t="str">
        <f t="shared" ca="1" si="11"/>
        <v>ĐỦ ĐK</v>
      </c>
      <c r="AG21" s="227"/>
      <c r="AI21" s="229"/>
    </row>
    <row r="22" spans="1:98" hidden="1"/>
    <row r="23" spans="1:98" s="228" customFormat="1" ht="24.95" hidden="1" customHeight="1">
      <c r="A23" s="218">
        <v>8</v>
      </c>
      <c r="B23" s="219">
        <v>25311106125</v>
      </c>
      <c r="C23" s="220" t="str">
        <f t="shared" ca="1" si="3"/>
        <v>Trần Anh</v>
      </c>
      <c r="D23" s="221" t="str">
        <f t="shared" ca="1" si="4"/>
        <v>Tín</v>
      </c>
      <c r="E23" s="222">
        <f t="shared" ca="1" si="5"/>
        <v>29351</v>
      </c>
      <c r="F23" s="222" t="str">
        <f t="shared" ca="1" si="6"/>
        <v>Quảng Nam</v>
      </c>
      <c r="G23" s="223">
        <f ca="1">VLOOKUP($B23,INDIRECT($AJ$4&amp;"!$B$6:$CZ$333"),MATCH('TN1'!G$8,INDIRECT($AJ$4&amp;"!$B$4:$CZ$4"),0),0)</f>
        <v>7.1</v>
      </c>
      <c r="H23" s="223">
        <f ca="1">VLOOKUP($B23,INDIRECT($AJ$4&amp;"!$B$6:$CZ$333"),MATCH('TN1'!H$8,INDIRECT($AJ$4&amp;"!$B$4:$CZ$4"),0),0)</f>
        <v>7.6</v>
      </c>
      <c r="I23" s="223">
        <f ca="1">VLOOKUP($B23,INDIRECT($AJ$4&amp;"!$B$6:$CZ$333"),MATCH('TN1'!I$8,INDIRECT($AJ$4&amp;"!$B$4:$CZ$4"),0),0)</f>
        <v>8.3000000000000007</v>
      </c>
      <c r="J23" s="223">
        <f ca="1">VLOOKUP($B23,INDIRECT($AJ$4&amp;"!$B$6:$CZ$333"),MATCH('TN1'!J$8,INDIRECT($AJ$4&amp;"!$B$4:$CZ$4"),0),0)</f>
        <v>8.3000000000000007</v>
      </c>
      <c r="K23" s="223">
        <f ca="1">VLOOKUP($B23,INDIRECT($AJ$4&amp;"!$B$6:$CZ$333"),MATCH('TN1'!K$8,INDIRECT($AJ$4&amp;"!$B$4:$CZ$4"),0),0)</f>
        <v>8.1999999999999993</v>
      </c>
      <c r="L23" s="223">
        <f ca="1">VLOOKUP($B23,INDIRECT($AJ$4&amp;"!$B$6:$CZ$333"),MATCH('TN1'!L$8,INDIRECT($AJ$4&amp;"!$B$4:$CZ$4"),0),0)</f>
        <v>8.3000000000000007</v>
      </c>
      <c r="M23" s="223">
        <f ca="1">VLOOKUP($B23,INDIRECT($AJ$4&amp;"!$B$6:$CZ$333"),MATCH('TN1'!M$8,INDIRECT($AJ$4&amp;"!$B$4:$CZ$4"),0),0)</f>
        <v>8.3000000000000007</v>
      </c>
      <c r="N23" s="223">
        <f ca="1">VLOOKUP($B23,INDIRECT($AJ$4&amp;"!$B$6:$CZ$333"),MATCH('TN1'!N$8,INDIRECT($AJ$4&amp;"!$B$4:$CZ$4"),0),0)</f>
        <v>7.5</v>
      </c>
      <c r="O23" s="223">
        <f ca="1">VLOOKUP($B23,INDIRECT($AJ$4&amp;"!$B$6:$CZ$333"),MATCH('TN1'!O$8,INDIRECT($AJ$4&amp;"!$B$4:$CZ$4"),0),0)</f>
        <v>7.1</v>
      </c>
      <c r="P23" s="223">
        <f ca="1">VLOOKUP($B23,INDIRECT($AJ$4&amp;"!$B$6:$CZ$333"),MATCH('TN1'!P$8,INDIRECT($AJ$4&amp;"!$B$4:$CZ$4"),0),0)</f>
        <v>6.9</v>
      </c>
      <c r="Q23" s="223">
        <f ca="1">VLOOKUP($B23,INDIRECT($AJ$4&amp;"!$B$6:$CZ$333"),MATCH('TN1'!Q$8,INDIRECT($AJ$4&amp;"!$B$4:$CZ$4"),0),0)</f>
        <v>8.3000000000000007</v>
      </c>
      <c r="R23" s="223">
        <f ca="1">VLOOKUP($B23,INDIRECT($AJ$4&amp;"!$B$6:$CZ$333"),MATCH('TN1'!R$8,INDIRECT($AJ$4&amp;"!$B$4:$CZ$4"),0),0)</f>
        <v>8.3000000000000007</v>
      </c>
      <c r="S23" s="223">
        <f ca="1">VLOOKUP($B23,INDIRECT($AJ$4&amp;"!$B$6:$CZ$333"),MATCH('TN1'!S$8,INDIRECT($AJ$4&amp;"!$B$4:$CZ$4"),0),0)</f>
        <v>7</v>
      </c>
      <c r="T23" s="223">
        <f ca="1">VLOOKUP($B23,INDIRECT($AJ$4&amp;"!$B$6:$CZ$333"),MATCH('TN1'!T$8,INDIRECT($AJ$4&amp;"!$B$4:$CZ$4"),0),0)</f>
        <v>8.1</v>
      </c>
      <c r="U23" s="223">
        <f ca="1">VLOOKUP($B23,INDIRECT($AJ$4&amp;"!$B$6:$CZ$333"),MATCH('TN1'!U$8,INDIRECT($AJ$4&amp;"!$B$4:$CZ$4"),0),0)</f>
        <v>8.9</v>
      </c>
      <c r="V23" s="223">
        <f ca="1">VLOOKUP($B23,INDIRECT($AJ$4&amp;"!$B$6:$CZ$333"),MATCH('TN1'!V$8,INDIRECT($AJ$4&amp;"!$B$4:$CZ$4"),0),0)</f>
        <v>6.5</v>
      </c>
      <c r="W23" s="223">
        <f ca="1">VLOOKUP($B23,INDIRECT($AJ$4&amp;"!$B$6:$CZ$333"),MATCH('TN1'!W$8,INDIRECT($AJ$4&amp;"!$B$4:$CZ$4"),0),0)</f>
        <v>7.5</v>
      </c>
      <c r="X23" s="223">
        <f ca="1">VLOOKUP($B23,INDIRECT($AJ$4&amp;"!$B$6:$CZ$333"),MATCH('TN1'!X$8,INDIRECT($AJ$4&amp;"!$B$4:$CZ$4"),0),0)</f>
        <v>8.4</v>
      </c>
      <c r="Y23" s="223">
        <f ca="1">VLOOKUP($B23,INDIRECT($AJ$4&amp;"!$B$6:$CZ$333"),MATCH('TN1'!Y$8,INDIRECT($AJ$4&amp;"!$B$4:$CZ$4"),0),0)</f>
        <v>7.8</v>
      </c>
      <c r="Z23" s="223">
        <f ca="1">VLOOKUP($B23,INDIRECT($AJ$4&amp;"!$B$6:$CZ$333"),MATCH('TN1'!Z$8,INDIRECT($AJ$4&amp;"!$B$4:$CZ$4"),0),0)</f>
        <v>7</v>
      </c>
      <c r="AA23" s="224">
        <f t="shared" ca="1" si="7"/>
        <v>54</v>
      </c>
      <c r="AB23" s="225">
        <f t="shared" ca="1" si="8"/>
        <v>7.79</v>
      </c>
      <c r="AC23" s="226">
        <f t="shared" ca="1" si="9"/>
        <v>0</v>
      </c>
      <c r="AD23" s="226">
        <f t="shared" ca="1" si="10"/>
        <v>0</v>
      </c>
      <c r="AE23" s="226" t="s">
        <v>201</v>
      </c>
      <c r="AF23" s="226" t="str">
        <f t="shared" ca="1" si="11"/>
        <v>ĐỦ ĐK</v>
      </c>
      <c r="AG23" s="227"/>
      <c r="AI23" s="229"/>
    </row>
    <row r="24" spans="1:98" s="228" customFormat="1" ht="24.95" hidden="1" customHeight="1">
      <c r="A24" s="218">
        <v>9</v>
      </c>
      <c r="B24" s="219">
        <v>25311106126</v>
      </c>
      <c r="C24" s="220" t="str">
        <f t="shared" ca="1" si="3"/>
        <v>Trịnh Minh</v>
      </c>
      <c r="D24" s="221" t="str">
        <f t="shared" ca="1" si="4"/>
        <v>Tuấn</v>
      </c>
      <c r="E24" s="222" t="str">
        <f t="shared" ca="1" si="5"/>
        <v>09/12/1994</v>
      </c>
      <c r="F24" s="222" t="str">
        <f t="shared" ca="1" si="6"/>
        <v>Huế</v>
      </c>
      <c r="G24" s="223">
        <f ca="1">VLOOKUP($B24,INDIRECT($AJ$4&amp;"!$B$6:$CZ$333"),MATCH('TN1'!G$8,INDIRECT($AJ$4&amp;"!$B$4:$CZ$4"),0),0)</f>
        <v>6.9</v>
      </c>
      <c r="H24" s="223">
        <f ca="1">VLOOKUP($B24,INDIRECT($AJ$4&amp;"!$B$6:$CZ$333"),MATCH('TN1'!H$8,INDIRECT($AJ$4&amp;"!$B$4:$CZ$4"),0),0)</f>
        <v>0</v>
      </c>
      <c r="I24" s="223">
        <f ca="1">VLOOKUP($B24,INDIRECT($AJ$4&amp;"!$B$6:$CZ$333"),MATCH('TN1'!I$8,INDIRECT($AJ$4&amp;"!$B$4:$CZ$4"),0),0)</f>
        <v>0</v>
      </c>
      <c r="J24" s="223">
        <f ca="1">VLOOKUP($B24,INDIRECT($AJ$4&amp;"!$B$6:$CZ$333"),MATCH('TN1'!J$8,INDIRECT($AJ$4&amp;"!$B$4:$CZ$4"),0),0)</f>
        <v>0</v>
      </c>
      <c r="K24" s="223">
        <f ca="1">VLOOKUP($B24,INDIRECT($AJ$4&amp;"!$B$6:$CZ$333"),MATCH('TN1'!K$8,INDIRECT($AJ$4&amp;"!$B$4:$CZ$4"),0),0)</f>
        <v>7.2</v>
      </c>
      <c r="L24" s="223">
        <f ca="1">VLOOKUP($B24,INDIRECT($AJ$4&amp;"!$B$6:$CZ$333"),MATCH('TN1'!L$8,INDIRECT($AJ$4&amp;"!$B$4:$CZ$4"),0),0)</f>
        <v>8</v>
      </c>
      <c r="M24" s="223">
        <f ca="1">VLOOKUP($B24,INDIRECT($AJ$4&amp;"!$B$6:$CZ$333"),MATCH('TN1'!M$8,INDIRECT($AJ$4&amp;"!$B$4:$CZ$4"),0),0)</f>
        <v>8.3000000000000007</v>
      </c>
      <c r="N24" s="223">
        <f ca="1">VLOOKUP($B24,INDIRECT($AJ$4&amp;"!$B$6:$CZ$333"),MATCH('TN1'!N$8,INDIRECT($AJ$4&amp;"!$B$4:$CZ$4"),0),0)</f>
        <v>8.1</v>
      </c>
      <c r="O24" s="223">
        <f ca="1">VLOOKUP($B24,INDIRECT($AJ$4&amp;"!$B$6:$CZ$333"),MATCH('TN1'!O$8,INDIRECT($AJ$4&amp;"!$B$4:$CZ$4"),0),0)</f>
        <v>7.8</v>
      </c>
      <c r="P24" s="223">
        <f ca="1">VLOOKUP($B24,INDIRECT($AJ$4&amp;"!$B$6:$CZ$333"),MATCH('TN1'!P$8,INDIRECT($AJ$4&amp;"!$B$4:$CZ$4"),0),0)</f>
        <v>8.9</v>
      </c>
      <c r="Q24" s="223">
        <f ca="1">VLOOKUP($B24,INDIRECT($AJ$4&amp;"!$B$6:$CZ$333"),MATCH('TN1'!Q$8,INDIRECT($AJ$4&amp;"!$B$4:$CZ$4"),0),0)</f>
        <v>8.3000000000000007</v>
      </c>
      <c r="R24" s="223">
        <f ca="1">VLOOKUP($B24,INDIRECT($AJ$4&amp;"!$B$6:$CZ$333"),MATCH('TN1'!R$8,INDIRECT($AJ$4&amp;"!$B$4:$CZ$4"),0),0)</f>
        <v>7.7</v>
      </c>
      <c r="S24" s="223">
        <f ca="1">VLOOKUP($B24,INDIRECT($AJ$4&amp;"!$B$6:$CZ$333"),MATCH('TN1'!S$8,INDIRECT($AJ$4&amp;"!$B$4:$CZ$4"),0),0)</f>
        <v>7.1</v>
      </c>
      <c r="T24" s="223">
        <f ca="1">VLOOKUP($B24,INDIRECT($AJ$4&amp;"!$B$6:$CZ$333"),MATCH('TN1'!T$8,INDIRECT($AJ$4&amp;"!$B$4:$CZ$4"),0),0)</f>
        <v>7.8</v>
      </c>
      <c r="U24" s="223">
        <f ca="1">VLOOKUP($B24,INDIRECT($AJ$4&amp;"!$B$6:$CZ$333"),MATCH('TN1'!U$8,INDIRECT($AJ$4&amp;"!$B$4:$CZ$4"),0),0)</f>
        <v>8.9</v>
      </c>
      <c r="V24" s="223">
        <f ca="1">VLOOKUP($B24,INDIRECT($AJ$4&amp;"!$B$6:$CZ$333"),MATCH('TN1'!V$8,INDIRECT($AJ$4&amp;"!$B$4:$CZ$4"),0),0)</f>
        <v>7.5</v>
      </c>
      <c r="W24" s="223">
        <f ca="1">VLOOKUP($B24,INDIRECT($AJ$4&amp;"!$B$6:$CZ$333"),MATCH('TN1'!W$8,INDIRECT($AJ$4&amp;"!$B$4:$CZ$4"),0),0)</f>
        <v>9</v>
      </c>
      <c r="X24" s="223">
        <f ca="1">VLOOKUP($B24,INDIRECT($AJ$4&amp;"!$B$6:$CZ$333"),MATCH('TN1'!X$8,INDIRECT($AJ$4&amp;"!$B$4:$CZ$4"),0),0)</f>
        <v>8.1999999999999993</v>
      </c>
      <c r="Y24" s="223">
        <f ca="1">VLOOKUP($B24,INDIRECT($AJ$4&amp;"!$B$6:$CZ$333"),MATCH('TN1'!Y$8,INDIRECT($AJ$4&amp;"!$B$4:$CZ$4"),0),0)</f>
        <v>7.9</v>
      </c>
      <c r="Z24" s="223">
        <f ca="1">VLOOKUP($B24,INDIRECT($AJ$4&amp;"!$B$6:$CZ$333"),MATCH('TN1'!Z$8,INDIRECT($AJ$4&amp;"!$B$4:$CZ$4"),0),0)</f>
        <v>7</v>
      </c>
      <c r="AA24" s="224">
        <f t="shared" ca="1" si="7"/>
        <v>54</v>
      </c>
      <c r="AB24" s="225">
        <f t="shared" ca="1" si="8"/>
        <v>6.64</v>
      </c>
      <c r="AC24" s="226">
        <f t="shared" ca="1" si="9"/>
        <v>3</v>
      </c>
      <c r="AD24" s="226">
        <f t="shared" ca="1" si="10"/>
        <v>9</v>
      </c>
      <c r="AE24" s="226" t="s">
        <v>201</v>
      </c>
      <c r="AF24" s="226" t="str">
        <f t="shared" ca="1" si="11"/>
        <v>KO ĐỦ</v>
      </c>
      <c r="AG24" s="227"/>
      <c r="AI24" s="229"/>
    </row>
    <row r="25" spans="1:98" s="228" customFormat="1" ht="24.95" hidden="1" customHeight="1">
      <c r="A25" s="218">
        <v>10</v>
      </c>
      <c r="B25" s="219">
        <v>25311106127</v>
      </c>
      <c r="C25" s="220" t="str">
        <f t="shared" ca="1" si="3"/>
        <v>Nguyễn Thanh</v>
      </c>
      <c r="D25" s="221" t="str">
        <f t="shared" ca="1" si="4"/>
        <v>Thanh</v>
      </c>
      <c r="E25" s="222" t="str">
        <f t="shared" ca="1" si="5"/>
        <v>08/11/1992</v>
      </c>
      <c r="F25" s="222" t="str">
        <f t="shared" ca="1" si="6"/>
        <v>Đà Nẵng</v>
      </c>
      <c r="G25" s="223">
        <f ca="1">VLOOKUP($B25,INDIRECT($AJ$4&amp;"!$B$6:$CZ$333"),MATCH('TN1'!G$8,INDIRECT($AJ$4&amp;"!$B$4:$CZ$4"),0),0)</f>
        <v>7.9</v>
      </c>
      <c r="H25" s="223">
        <f ca="1">VLOOKUP($B25,INDIRECT($AJ$4&amp;"!$B$6:$CZ$333"),MATCH('TN1'!H$8,INDIRECT($AJ$4&amp;"!$B$4:$CZ$4"),0),0)</f>
        <v>7.7</v>
      </c>
      <c r="I25" s="223">
        <f ca="1">VLOOKUP($B25,INDIRECT($AJ$4&amp;"!$B$6:$CZ$333"),MATCH('TN1'!I$8,INDIRECT($AJ$4&amp;"!$B$4:$CZ$4"),0),0)</f>
        <v>8.5</v>
      </c>
      <c r="J25" s="223">
        <f ca="1">VLOOKUP($B25,INDIRECT($AJ$4&amp;"!$B$6:$CZ$333"),MATCH('TN1'!J$8,INDIRECT($AJ$4&amp;"!$B$4:$CZ$4"),0),0)</f>
        <v>8.3000000000000007</v>
      </c>
      <c r="K25" s="223">
        <f ca="1">VLOOKUP($B25,INDIRECT($AJ$4&amp;"!$B$6:$CZ$333"),MATCH('TN1'!K$8,INDIRECT($AJ$4&amp;"!$B$4:$CZ$4"),0),0)</f>
        <v>8.3000000000000007</v>
      </c>
      <c r="L25" s="223">
        <f ca="1">VLOOKUP($B25,INDIRECT($AJ$4&amp;"!$B$6:$CZ$333"),MATCH('TN1'!L$8,INDIRECT($AJ$4&amp;"!$B$4:$CZ$4"),0),0)</f>
        <v>8</v>
      </c>
      <c r="M25" s="223">
        <f ca="1">VLOOKUP($B25,INDIRECT($AJ$4&amp;"!$B$6:$CZ$333"),MATCH('TN1'!M$8,INDIRECT($AJ$4&amp;"!$B$4:$CZ$4"),0),0)</f>
        <v>8.3000000000000007</v>
      </c>
      <c r="N25" s="223">
        <f ca="1">VLOOKUP($B25,INDIRECT($AJ$4&amp;"!$B$6:$CZ$333"),MATCH('TN1'!N$8,INDIRECT($AJ$4&amp;"!$B$4:$CZ$4"),0),0)</f>
        <v>7</v>
      </c>
      <c r="O25" s="223">
        <f ca="1">VLOOKUP($B25,INDIRECT($AJ$4&amp;"!$B$6:$CZ$333"),MATCH('TN1'!O$8,INDIRECT($AJ$4&amp;"!$B$4:$CZ$4"),0),0)</f>
        <v>7.8</v>
      </c>
      <c r="P25" s="223">
        <f ca="1">VLOOKUP($B25,INDIRECT($AJ$4&amp;"!$B$6:$CZ$333"),MATCH('TN1'!P$8,INDIRECT($AJ$4&amp;"!$B$4:$CZ$4"),0),0)</f>
        <v>8</v>
      </c>
      <c r="Q25" s="223">
        <f ca="1">VLOOKUP($B25,INDIRECT($AJ$4&amp;"!$B$6:$CZ$333"),MATCH('TN1'!Q$8,INDIRECT($AJ$4&amp;"!$B$4:$CZ$4"),0),0)</f>
        <v>8</v>
      </c>
      <c r="R25" s="223">
        <f ca="1">VLOOKUP($B25,INDIRECT($AJ$4&amp;"!$B$6:$CZ$333"),MATCH('TN1'!R$8,INDIRECT($AJ$4&amp;"!$B$4:$CZ$4"),0),0)</f>
        <v>7.8</v>
      </c>
      <c r="S25" s="223">
        <f ca="1">VLOOKUP($B25,INDIRECT($AJ$4&amp;"!$B$6:$CZ$333"),MATCH('TN1'!S$8,INDIRECT($AJ$4&amp;"!$B$4:$CZ$4"),0),0)</f>
        <v>7.1</v>
      </c>
      <c r="T25" s="223">
        <f ca="1">VLOOKUP($B25,INDIRECT($AJ$4&amp;"!$B$6:$CZ$333"),MATCH('TN1'!T$8,INDIRECT($AJ$4&amp;"!$B$4:$CZ$4"),0),0)</f>
        <v>7.8</v>
      </c>
      <c r="U25" s="223">
        <f ca="1">VLOOKUP($B25,INDIRECT($AJ$4&amp;"!$B$6:$CZ$333"),MATCH('TN1'!U$8,INDIRECT($AJ$4&amp;"!$B$4:$CZ$4"),0),0)</f>
        <v>9</v>
      </c>
      <c r="V25" s="223">
        <f ca="1">VLOOKUP($B25,INDIRECT($AJ$4&amp;"!$B$6:$CZ$333"),MATCH('TN1'!V$8,INDIRECT($AJ$4&amp;"!$B$4:$CZ$4"),0),0)</f>
        <v>7.5</v>
      </c>
      <c r="W25" s="223">
        <f ca="1">VLOOKUP($B25,INDIRECT($AJ$4&amp;"!$B$6:$CZ$333"),MATCH('TN1'!W$8,INDIRECT($AJ$4&amp;"!$B$4:$CZ$4"),0),0)</f>
        <v>9</v>
      </c>
      <c r="X25" s="223">
        <f ca="1">VLOOKUP($B25,INDIRECT($AJ$4&amp;"!$B$6:$CZ$333"),MATCH('TN1'!X$8,INDIRECT($AJ$4&amp;"!$B$4:$CZ$4"),0),0)</f>
        <v>8.1999999999999993</v>
      </c>
      <c r="Y25" s="223">
        <f ca="1">VLOOKUP($B25,INDIRECT($AJ$4&amp;"!$B$6:$CZ$333"),MATCH('TN1'!Y$8,INDIRECT($AJ$4&amp;"!$B$4:$CZ$4"),0),0)</f>
        <v>7.3</v>
      </c>
      <c r="Z25" s="223">
        <f ca="1">VLOOKUP($B25,INDIRECT($AJ$4&amp;"!$B$6:$CZ$333"),MATCH('TN1'!Z$8,INDIRECT($AJ$4&amp;"!$B$4:$CZ$4"),0),0)</f>
        <v>7.5</v>
      </c>
      <c r="AA25" s="224">
        <f t="shared" ca="1" si="7"/>
        <v>54</v>
      </c>
      <c r="AB25" s="225">
        <f t="shared" ca="1" si="8"/>
        <v>7.98</v>
      </c>
      <c r="AC25" s="226">
        <f t="shared" ca="1" si="9"/>
        <v>0</v>
      </c>
      <c r="AD25" s="226">
        <f t="shared" ca="1" si="10"/>
        <v>0</v>
      </c>
      <c r="AE25" s="226" t="s">
        <v>201</v>
      </c>
      <c r="AF25" s="226" t="str">
        <f t="shared" ca="1" si="11"/>
        <v>ĐỦ ĐK</v>
      </c>
      <c r="AG25" s="227"/>
      <c r="AI25" s="229"/>
    </row>
    <row r="26" spans="1:98" s="228" customFormat="1" ht="24.95" hidden="1" customHeight="1">
      <c r="A26" s="218">
        <v>11</v>
      </c>
      <c r="B26" s="219">
        <v>25311106129</v>
      </c>
      <c r="C26" s="220" t="str">
        <f t="shared" ca="1" si="3"/>
        <v>Hà Lê</v>
      </c>
      <c r="D26" s="221" t="str">
        <f t="shared" ca="1" si="4"/>
        <v>Trung</v>
      </c>
      <c r="E26" s="222">
        <f t="shared" ca="1" si="5"/>
        <v>31056</v>
      </c>
      <c r="F26" s="222" t="str">
        <f t="shared" ca="1" si="6"/>
        <v>Quảng Nam</v>
      </c>
      <c r="G26" s="223">
        <f ca="1">VLOOKUP($B26,INDIRECT($AJ$4&amp;"!$B$6:$CZ$333"),MATCH('TN1'!G$8,INDIRECT($AJ$4&amp;"!$B$4:$CZ$4"),0),0)</f>
        <v>7</v>
      </c>
      <c r="H26" s="223">
        <f ca="1">VLOOKUP($B26,INDIRECT($AJ$4&amp;"!$B$6:$CZ$333"),MATCH('TN1'!H$8,INDIRECT($AJ$4&amp;"!$B$4:$CZ$4"),0),0)</f>
        <v>7.8</v>
      </c>
      <c r="I26" s="223">
        <f ca="1">VLOOKUP($B26,INDIRECT($AJ$4&amp;"!$B$6:$CZ$333"),MATCH('TN1'!I$8,INDIRECT($AJ$4&amp;"!$B$4:$CZ$4"),0),0)</f>
        <v>7.8</v>
      </c>
      <c r="J26" s="223">
        <f ca="1">VLOOKUP($B26,INDIRECT($AJ$4&amp;"!$B$6:$CZ$333"),MATCH('TN1'!J$8,INDIRECT($AJ$4&amp;"!$B$4:$CZ$4"),0),0)</f>
        <v>8.4</v>
      </c>
      <c r="K26" s="223">
        <f ca="1">VLOOKUP($B26,INDIRECT($AJ$4&amp;"!$B$6:$CZ$333"),MATCH('TN1'!K$8,INDIRECT($AJ$4&amp;"!$B$4:$CZ$4"),0),0)</f>
        <v>8</v>
      </c>
      <c r="L26" s="223">
        <f ca="1">VLOOKUP($B26,INDIRECT($AJ$4&amp;"!$B$6:$CZ$333"),MATCH('TN1'!L$8,INDIRECT($AJ$4&amp;"!$B$4:$CZ$4"),0),0)</f>
        <v>8.4</v>
      </c>
      <c r="M26" s="223">
        <f ca="1">VLOOKUP($B26,INDIRECT($AJ$4&amp;"!$B$6:$CZ$333"),MATCH('TN1'!M$8,INDIRECT($AJ$4&amp;"!$B$4:$CZ$4"),0),0)</f>
        <v>8.3000000000000007</v>
      </c>
      <c r="N26" s="223">
        <f ca="1">VLOOKUP($B26,INDIRECT($AJ$4&amp;"!$B$6:$CZ$333"),MATCH('TN1'!N$8,INDIRECT($AJ$4&amp;"!$B$4:$CZ$4"),0),0)</f>
        <v>8</v>
      </c>
      <c r="O26" s="223">
        <f ca="1">VLOOKUP($B26,INDIRECT($AJ$4&amp;"!$B$6:$CZ$333"),MATCH('TN1'!O$8,INDIRECT($AJ$4&amp;"!$B$4:$CZ$4"),0),0)</f>
        <v>8.1999999999999993</v>
      </c>
      <c r="P26" s="223">
        <f ca="1">VLOOKUP($B26,INDIRECT($AJ$4&amp;"!$B$6:$CZ$333"),MATCH('TN1'!P$8,INDIRECT($AJ$4&amp;"!$B$4:$CZ$4"),0),0)</f>
        <v>8.9</v>
      </c>
      <c r="Q26" s="223">
        <f ca="1">VLOOKUP($B26,INDIRECT($AJ$4&amp;"!$B$6:$CZ$333"),MATCH('TN1'!Q$8,INDIRECT($AJ$4&amp;"!$B$4:$CZ$4"),0),0)</f>
        <v>7.7</v>
      </c>
      <c r="R26" s="223">
        <f ca="1">VLOOKUP($B26,INDIRECT($AJ$4&amp;"!$B$6:$CZ$333"),MATCH('TN1'!R$8,INDIRECT($AJ$4&amp;"!$B$4:$CZ$4"),0),0)</f>
        <v>7.9</v>
      </c>
      <c r="S26" s="223">
        <f ca="1">VLOOKUP($B26,INDIRECT($AJ$4&amp;"!$B$6:$CZ$333"),MATCH('TN1'!S$8,INDIRECT($AJ$4&amp;"!$B$4:$CZ$4"),0),0)</f>
        <v>7.6</v>
      </c>
      <c r="T26" s="223">
        <f ca="1">VLOOKUP($B26,INDIRECT($AJ$4&amp;"!$B$6:$CZ$333"),MATCH('TN1'!T$8,INDIRECT($AJ$4&amp;"!$B$4:$CZ$4"),0),0)</f>
        <v>7.8</v>
      </c>
      <c r="U26" s="223">
        <f ca="1">VLOOKUP($B26,INDIRECT($AJ$4&amp;"!$B$6:$CZ$333"),MATCH('TN1'!U$8,INDIRECT($AJ$4&amp;"!$B$4:$CZ$4"),0),0)</f>
        <v>8.9</v>
      </c>
      <c r="V26" s="223">
        <f ca="1">VLOOKUP($B26,INDIRECT($AJ$4&amp;"!$B$6:$CZ$333"),MATCH('TN1'!V$8,INDIRECT($AJ$4&amp;"!$B$4:$CZ$4"),0),0)</f>
        <v>7.5</v>
      </c>
      <c r="W26" s="223">
        <f ca="1">VLOOKUP($B26,INDIRECT($AJ$4&amp;"!$B$6:$CZ$333"),MATCH('TN1'!W$8,INDIRECT($AJ$4&amp;"!$B$4:$CZ$4"),0),0)</f>
        <v>9</v>
      </c>
      <c r="X26" s="223">
        <f ca="1">VLOOKUP($B26,INDIRECT($AJ$4&amp;"!$B$6:$CZ$333"),MATCH('TN1'!X$8,INDIRECT($AJ$4&amp;"!$B$4:$CZ$4"),0),0)</f>
        <v>8.5</v>
      </c>
      <c r="Y26" s="223">
        <f ca="1">VLOOKUP($B26,INDIRECT($AJ$4&amp;"!$B$6:$CZ$333"),MATCH('TN1'!Y$8,INDIRECT($AJ$4&amp;"!$B$4:$CZ$4"),0),0)</f>
        <v>7.6</v>
      </c>
      <c r="Z26" s="223">
        <f ca="1">VLOOKUP($B26,INDIRECT($AJ$4&amp;"!$B$6:$CZ$333"),MATCH('TN1'!Z$8,INDIRECT($AJ$4&amp;"!$B$4:$CZ$4"),0),0)</f>
        <v>8.5</v>
      </c>
      <c r="AA26" s="224">
        <f t="shared" ca="1" si="7"/>
        <v>54</v>
      </c>
      <c r="AB26" s="225">
        <f t="shared" ca="1" si="8"/>
        <v>8.09</v>
      </c>
      <c r="AC26" s="226">
        <f t="shared" ca="1" si="9"/>
        <v>0</v>
      </c>
      <c r="AD26" s="226">
        <f t="shared" ca="1" si="10"/>
        <v>0</v>
      </c>
      <c r="AE26" s="226" t="s">
        <v>201</v>
      </c>
      <c r="AF26" s="226" t="str">
        <f t="shared" ca="1" si="11"/>
        <v>ĐỦ ĐK</v>
      </c>
      <c r="AG26" s="227"/>
      <c r="AI26" s="229"/>
    </row>
    <row r="27" spans="1:98" hidden="1"/>
    <row r="28" spans="1:98" s="228" customFormat="1" ht="26.25" hidden="1" customHeight="1">
      <c r="A28" s="218">
        <v>13</v>
      </c>
      <c r="B28" s="219">
        <v>25311106131</v>
      </c>
      <c r="C28" s="220" t="str">
        <f t="shared" ca="1" si="3"/>
        <v>Phạm Hồng</v>
      </c>
      <c r="D28" s="221" t="str">
        <f t="shared" ca="1" si="4"/>
        <v>Vũ</v>
      </c>
      <c r="E28" s="222" t="str">
        <f t="shared" ca="1" si="5"/>
        <v>17/12/1978</v>
      </c>
      <c r="F28" s="222" t="str">
        <f t="shared" ca="1" si="6"/>
        <v>Quảng Nam</v>
      </c>
      <c r="G28" s="223">
        <f ca="1">VLOOKUP($B28,INDIRECT($AJ$4&amp;"!$B$6:$CZ$333"),MATCH('TN1'!G$8,INDIRECT($AJ$4&amp;"!$B$4:$CZ$4"),0),0)</f>
        <v>7.4</v>
      </c>
      <c r="H28" s="223">
        <f ca="1">VLOOKUP($B28,INDIRECT($AJ$4&amp;"!$B$6:$CZ$333"),MATCH('TN1'!H$8,INDIRECT($AJ$4&amp;"!$B$4:$CZ$4"),0),0)</f>
        <v>7.9</v>
      </c>
      <c r="I28" s="223">
        <f ca="1">VLOOKUP($B28,INDIRECT($AJ$4&amp;"!$B$6:$CZ$333"),MATCH('TN1'!I$8,INDIRECT($AJ$4&amp;"!$B$4:$CZ$4"),0),0)</f>
        <v>8.4</v>
      </c>
      <c r="J28" s="223">
        <f ca="1">VLOOKUP($B28,INDIRECT($AJ$4&amp;"!$B$6:$CZ$333"),MATCH('TN1'!J$8,INDIRECT($AJ$4&amp;"!$B$4:$CZ$4"),0),0)</f>
        <v>8.6</v>
      </c>
      <c r="K28" s="223">
        <f ca="1">VLOOKUP($B28,INDIRECT($AJ$4&amp;"!$B$6:$CZ$333"),MATCH('TN1'!K$8,INDIRECT($AJ$4&amp;"!$B$4:$CZ$4"),0),0)</f>
        <v>8.1999999999999993</v>
      </c>
      <c r="L28" s="223">
        <f ca="1">VLOOKUP($B28,INDIRECT($AJ$4&amp;"!$B$6:$CZ$333"),MATCH('TN1'!L$8,INDIRECT($AJ$4&amp;"!$B$4:$CZ$4"),0),0)</f>
        <v>8.4</v>
      </c>
      <c r="M28" s="223">
        <f ca="1">VLOOKUP($B28,INDIRECT($AJ$4&amp;"!$B$6:$CZ$333"),MATCH('TN1'!M$8,INDIRECT($AJ$4&amp;"!$B$4:$CZ$4"),0),0)</f>
        <v>9</v>
      </c>
      <c r="N28" s="223">
        <f ca="1">VLOOKUP($B28,INDIRECT($AJ$4&amp;"!$B$6:$CZ$333"),MATCH('TN1'!N$8,INDIRECT($AJ$4&amp;"!$B$4:$CZ$4"),0),0)</f>
        <v>8</v>
      </c>
      <c r="O28" s="223">
        <f ca="1">VLOOKUP($B28,INDIRECT($AJ$4&amp;"!$B$6:$CZ$333"),MATCH('TN1'!O$8,INDIRECT($AJ$4&amp;"!$B$4:$CZ$4"),0),0)</f>
        <v>7.5</v>
      </c>
      <c r="P28" s="223">
        <f ca="1">VLOOKUP($B28,INDIRECT($AJ$4&amp;"!$B$6:$CZ$333"),MATCH('TN1'!P$8,INDIRECT($AJ$4&amp;"!$B$4:$CZ$4"),0),0)</f>
        <v>6.9</v>
      </c>
      <c r="Q28" s="223">
        <f ca="1">VLOOKUP($B28,INDIRECT($AJ$4&amp;"!$B$6:$CZ$333"),MATCH('TN1'!Q$8,INDIRECT($AJ$4&amp;"!$B$4:$CZ$4"),0),0)</f>
        <v>8.6</v>
      </c>
      <c r="R28" s="223">
        <f ca="1">VLOOKUP($B28,INDIRECT($AJ$4&amp;"!$B$6:$CZ$333"),MATCH('TN1'!R$8,INDIRECT($AJ$4&amp;"!$B$4:$CZ$4"),0),0)</f>
        <v>8.1999999999999993</v>
      </c>
      <c r="S28" s="223">
        <f ca="1">VLOOKUP($B28,INDIRECT($AJ$4&amp;"!$B$6:$CZ$333"),MATCH('TN1'!S$8,INDIRECT($AJ$4&amp;"!$B$4:$CZ$4"),0),0)</f>
        <v>7.3</v>
      </c>
      <c r="T28" s="223">
        <f ca="1">VLOOKUP($B28,INDIRECT($AJ$4&amp;"!$B$6:$CZ$333"),MATCH('TN1'!T$8,INDIRECT($AJ$4&amp;"!$B$4:$CZ$4"),0),0)</f>
        <v>8.6999999999999993</v>
      </c>
      <c r="U28" s="223">
        <f ca="1">VLOOKUP($B28,INDIRECT($AJ$4&amp;"!$B$6:$CZ$333"),MATCH('TN1'!U$8,INDIRECT($AJ$4&amp;"!$B$4:$CZ$4"),0),0)</f>
        <v>9</v>
      </c>
      <c r="V28" s="223">
        <f ca="1">VLOOKUP($B28,INDIRECT($AJ$4&amp;"!$B$6:$CZ$333"),MATCH('TN1'!V$8,INDIRECT($AJ$4&amp;"!$B$4:$CZ$4"),0),0)</f>
        <v>7</v>
      </c>
      <c r="W28" s="223">
        <f ca="1">VLOOKUP($B28,INDIRECT($AJ$4&amp;"!$B$6:$CZ$333"),MATCH('TN1'!W$8,INDIRECT($AJ$4&amp;"!$B$4:$CZ$4"),0),0)</f>
        <v>9</v>
      </c>
      <c r="X28" s="223">
        <f ca="1">VLOOKUP($B28,INDIRECT($AJ$4&amp;"!$B$6:$CZ$333"),MATCH('TN1'!X$8,INDIRECT($AJ$4&amp;"!$B$4:$CZ$4"),0),0)</f>
        <v>8.1999999999999993</v>
      </c>
      <c r="Y28" s="223">
        <f ca="1">VLOOKUP($B28,INDIRECT($AJ$4&amp;"!$B$6:$CZ$333"),MATCH('TN1'!Y$8,INDIRECT($AJ$4&amp;"!$B$4:$CZ$4"),0),0)</f>
        <v>8.6999999999999993</v>
      </c>
      <c r="Z28" s="223">
        <f ca="1">VLOOKUP($B28,INDIRECT($AJ$4&amp;"!$B$6:$CZ$333"),MATCH('TN1'!Z$8,INDIRECT($AJ$4&amp;"!$B$4:$CZ$4"),0),0)</f>
        <v>7</v>
      </c>
      <c r="AA28" s="224">
        <f t="shared" ca="1" si="7"/>
        <v>54</v>
      </c>
      <c r="AB28" s="225">
        <f t="shared" ca="1" si="8"/>
        <v>8.1300000000000008</v>
      </c>
      <c r="AC28" s="226">
        <f t="shared" ca="1" si="9"/>
        <v>0</v>
      </c>
      <c r="AD28" s="226">
        <f t="shared" ca="1" si="10"/>
        <v>0</v>
      </c>
      <c r="AE28" s="226" t="s">
        <v>201</v>
      </c>
      <c r="AF28" s="226" t="str">
        <f t="shared" ca="1" si="11"/>
        <v>ĐỦ ĐK</v>
      </c>
      <c r="AG28" s="230"/>
      <c r="AI28" s="229"/>
    </row>
    <row r="29" spans="1:98" s="228" customFormat="1" ht="24.95" hidden="1" customHeight="1">
      <c r="A29" s="218">
        <v>14</v>
      </c>
      <c r="B29" s="219"/>
      <c r="C29" s="220" t="e">
        <f t="shared" ca="1" si="3"/>
        <v>#N/A</v>
      </c>
      <c r="D29" s="221" t="e">
        <f t="shared" ca="1" si="4"/>
        <v>#N/A</v>
      </c>
      <c r="E29" s="222" t="e">
        <f t="shared" ca="1" si="5"/>
        <v>#N/A</v>
      </c>
      <c r="F29" s="222" t="e">
        <f t="shared" ca="1" si="6"/>
        <v>#N/A</v>
      </c>
      <c r="G29" s="223" t="e">
        <f ca="1">VLOOKUP($B29,INDIRECT($AJ$4&amp;"!$B$6:$CZ$333"),MATCH('TN1'!G$8,INDIRECT($AJ$4&amp;"!$B$4:$CZ$4"),0),0)</f>
        <v>#N/A</v>
      </c>
      <c r="H29" s="223" t="e">
        <f ca="1">VLOOKUP($B29,INDIRECT($AJ$4&amp;"!$B$6:$CZ$333"),MATCH('TN1'!H$8,INDIRECT($AJ$4&amp;"!$B$4:$CZ$4"),0),0)</f>
        <v>#N/A</v>
      </c>
      <c r="I29" s="223" t="e">
        <f ca="1">VLOOKUP($B29,INDIRECT($AJ$4&amp;"!$B$6:$CZ$333"),MATCH('TN1'!I$8,INDIRECT($AJ$4&amp;"!$B$4:$CZ$4"),0),0)</f>
        <v>#N/A</v>
      </c>
      <c r="J29" s="223" t="e">
        <f ca="1">VLOOKUP($B29,INDIRECT($AJ$4&amp;"!$B$6:$CZ$333"),MATCH('TN1'!J$8,INDIRECT($AJ$4&amp;"!$B$4:$CZ$4"),0),0)</f>
        <v>#N/A</v>
      </c>
      <c r="K29" s="223" t="e">
        <f ca="1">VLOOKUP($B29,INDIRECT($AJ$4&amp;"!$B$6:$CZ$333"),MATCH('TN1'!K$8,INDIRECT($AJ$4&amp;"!$B$4:$CZ$4"),0),0)</f>
        <v>#N/A</v>
      </c>
      <c r="L29" s="223" t="e">
        <f ca="1">VLOOKUP($B29,INDIRECT($AJ$4&amp;"!$B$6:$CZ$333"),MATCH('TN1'!L$8,INDIRECT($AJ$4&amp;"!$B$4:$CZ$4"),0),0)</f>
        <v>#N/A</v>
      </c>
      <c r="M29" s="223" t="e">
        <f ca="1">VLOOKUP($B29,INDIRECT($AJ$4&amp;"!$B$6:$CZ$333"),MATCH('TN1'!M$8,INDIRECT($AJ$4&amp;"!$B$4:$CZ$4"),0),0)</f>
        <v>#N/A</v>
      </c>
      <c r="N29" s="223" t="e">
        <f ca="1">VLOOKUP($B29,INDIRECT($AJ$4&amp;"!$B$6:$CZ$333"),MATCH('TN1'!N$8,INDIRECT($AJ$4&amp;"!$B$4:$CZ$4"),0),0)</f>
        <v>#N/A</v>
      </c>
      <c r="O29" s="223" t="e">
        <f ca="1">VLOOKUP($B29,INDIRECT($AJ$4&amp;"!$B$6:$CZ$333"),MATCH('TN1'!O$8,INDIRECT($AJ$4&amp;"!$B$4:$CZ$4"),0),0)</f>
        <v>#N/A</v>
      </c>
      <c r="P29" s="223" t="e">
        <f ca="1">VLOOKUP($B29,INDIRECT($AJ$4&amp;"!$B$6:$CZ$333"),MATCH('TN1'!P$8,INDIRECT($AJ$4&amp;"!$B$4:$CZ$4"),0),0)</f>
        <v>#N/A</v>
      </c>
      <c r="Q29" s="223" t="e">
        <f ca="1">VLOOKUP($B29,INDIRECT($AJ$4&amp;"!$B$6:$CZ$333"),MATCH('TN1'!Q$8,INDIRECT($AJ$4&amp;"!$B$4:$CZ$4"),0),0)</f>
        <v>#N/A</v>
      </c>
      <c r="R29" s="223" t="e">
        <f ca="1">VLOOKUP($B29,INDIRECT($AJ$4&amp;"!$B$6:$CZ$333"),MATCH('TN1'!R$8,INDIRECT($AJ$4&amp;"!$B$4:$CZ$4"),0),0)</f>
        <v>#N/A</v>
      </c>
      <c r="S29" s="223" t="e">
        <f ca="1">VLOOKUP($B29,INDIRECT($AJ$4&amp;"!$B$6:$CZ$333"),MATCH('TN1'!S$8,INDIRECT($AJ$4&amp;"!$B$4:$CZ$4"),0),0)</f>
        <v>#N/A</v>
      </c>
      <c r="T29" s="223" t="e">
        <f ca="1">VLOOKUP($B29,INDIRECT($AJ$4&amp;"!$B$6:$CZ$333"),MATCH('TN1'!T$8,INDIRECT($AJ$4&amp;"!$B$4:$CZ$4"),0),0)</f>
        <v>#N/A</v>
      </c>
      <c r="U29" s="223" t="e">
        <f ca="1">VLOOKUP($B29,INDIRECT($AJ$4&amp;"!$B$6:$CZ$333"),MATCH('TN1'!U$8,INDIRECT($AJ$4&amp;"!$B$4:$CZ$4"),0),0)</f>
        <v>#N/A</v>
      </c>
      <c r="V29" s="223" t="e">
        <f ca="1">VLOOKUP($B29,INDIRECT($AJ$4&amp;"!$B$6:$CZ$333"),MATCH('TN1'!V$8,INDIRECT($AJ$4&amp;"!$B$4:$CZ$4"),0),0)</f>
        <v>#N/A</v>
      </c>
      <c r="W29" s="223" t="e">
        <f ca="1">VLOOKUP($B29,INDIRECT($AJ$4&amp;"!$B$6:$CZ$333"),MATCH('TN1'!W$8,INDIRECT($AJ$4&amp;"!$B$4:$CZ$4"),0),0)</f>
        <v>#N/A</v>
      </c>
      <c r="X29" s="223" t="e">
        <f ca="1">VLOOKUP($B29,INDIRECT($AJ$4&amp;"!$B$6:$CZ$333"),MATCH('TN1'!X$8,INDIRECT($AJ$4&amp;"!$B$4:$CZ$4"),0),0)</f>
        <v>#N/A</v>
      </c>
      <c r="Y29" s="223" t="e">
        <f ca="1">VLOOKUP($B29,INDIRECT($AJ$4&amp;"!$B$6:$CZ$333"),MATCH('TN1'!Y$8,INDIRECT($AJ$4&amp;"!$B$4:$CZ$4"),0),0)</f>
        <v>#N/A</v>
      </c>
      <c r="Z29" s="223" t="e">
        <f ca="1">VLOOKUP($B29,INDIRECT($AJ$4&amp;"!$B$6:$CZ$333"),MATCH('TN1'!Z$8,INDIRECT($AJ$4&amp;"!$B$4:$CZ$4"),0),0)</f>
        <v>#N/A</v>
      </c>
      <c r="AA29" s="224">
        <f t="shared" ca="1" si="7"/>
        <v>0</v>
      </c>
      <c r="AB29" s="225" t="e">
        <f t="shared" ca="1" si="8"/>
        <v>#N/A</v>
      </c>
      <c r="AC29" s="226">
        <f t="shared" ca="1" si="9"/>
        <v>0</v>
      </c>
      <c r="AD29" s="226">
        <f t="shared" ca="1" si="10"/>
        <v>0</v>
      </c>
      <c r="AE29" s="226" t="s">
        <v>201</v>
      </c>
      <c r="AF29" s="226" t="e">
        <f t="shared" ca="1" si="11"/>
        <v>#N/A</v>
      </c>
      <c r="AG29" s="230"/>
      <c r="AI29" s="229"/>
    </row>
    <row r="30" spans="1:98" s="228" customFormat="1" ht="17.25" hidden="1" customHeight="1">
      <c r="A30" s="231">
        <v>15</v>
      </c>
      <c r="B30" s="219"/>
      <c r="C30" s="220" t="e">
        <f t="shared" ca="1" si="3"/>
        <v>#N/A</v>
      </c>
      <c r="D30" s="221" t="e">
        <f t="shared" ca="1" si="4"/>
        <v>#N/A</v>
      </c>
      <c r="E30" s="222" t="e">
        <f t="shared" ca="1" si="5"/>
        <v>#N/A</v>
      </c>
      <c r="F30" s="222" t="e">
        <f t="shared" ca="1" si="6"/>
        <v>#N/A</v>
      </c>
      <c r="G30" s="223" t="e">
        <f ca="1">VLOOKUP($B30,INDIRECT($AJ$4&amp;"!$B$6:$CZ$333"),MATCH('TN1'!G$8,INDIRECT($AJ$4&amp;"!$B$4:$CZ$4"),0),0)</f>
        <v>#N/A</v>
      </c>
      <c r="H30" s="223" t="e">
        <f ca="1">VLOOKUP($B30,INDIRECT($AJ$4&amp;"!$B$6:$CZ$333"),MATCH('TN1'!H$8,INDIRECT($AJ$4&amp;"!$B$4:$CZ$4"),0),0)</f>
        <v>#N/A</v>
      </c>
      <c r="I30" s="223" t="e">
        <f ca="1">VLOOKUP($B30,INDIRECT($AJ$4&amp;"!$B$6:$CZ$333"),MATCH('TN1'!I$8,INDIRECT($AJ$4&amp;"!$B$4:$CZ$4"),0),0)</f>
        <v>#N/A</v>
      </c>
      <c r="J30" s="223" t="e">
        <f ca="1">VLOOKUP($B30,INDIRECT($AJ$4&amp;"!$B$6:$CZ$333"),MATCH('TN1'!J$8,INDIRECT($AJ$4&amp;"!$B$4:$CZ$4"),0),0)</f>
        <v>#N/A</v>
      </c>
      <c r="K30" s="223" t="e">
        <f ca="1">VLOOKUP($B30,INDIRECT($AJ$4&amp;"!$B$6:$CZ$333"),MATCH('TN1'!K$8,INDIRECT($AJ$4&amp;"!$B$4:$CZ$4"),0),0)</f>
        <v>#N/A</v>
      </c>
      <c r="L30" s="223" t="e">
        <f ca="1">VLOOKUP($B30,INDIRECT($AJ$4&amp;"!$B$6:$CZ$333"),MATCH('TN1'!L$8,INDIRECT($AJ$4&amp;"!$B$4:$CZ$4"),0),0)</f>
        <v>#N/A</v>
      </c>
      <c r="M30" s="223" t="e">
        <f ca="1">VLOOKUP($B30,INDIRECT($AJ$4&amp;"!$B$6:$CZ$333"),MATCH('TN1'!M$8,INDIRECT($AJ$4&amp;"!$B$4:$CZ$4"),0),0)</f>
        <v>#N/A</v>
      </c>
      <c r="N30" s="223" t="e">
        <f ca="1">VLOOKUP($B30,INDIRECT($AJ$4&amp;"!$B$6:$CZ$333"),MATCH('TN1'!N$8,INDIRECT($AJ$4&amp;"!$B$4:$CZ$4"),0),0)</f>
        <v>#N/A</v>
      </c>
      <c r="O30" s="223" t="e">
        <f ca="1">VLOOKUP($B30,INDIRECT($AJ$4&amp;"!$B$6:$CZ$333"),MATCH('TN1'!O$8,INDIRECT($AJ$4&amp;"!$B$4:$CZ$4"),0),0)</f>
        <v>#N/A</v>
      </c>
      <c r="P30" s="223" t="e">
        <f ca="1">VLOOKUP($B30,INDIRECT($AJ$4&amp;"!$B$6:$CZ$333"),MATCH('TN1'!P$8,INDIRECT($AJ$4&amp;"!$B$4:$CZ$4"),0),0)</f>
        <v>#N/A</v>
      </c>
      <c r="Q30" s="223" t="e">
        <f ca="1">VLOOKUP($B30,INDIRECT($AJ$4&amp;"!$B$6:$CZ$333"),MATCH('TN1'!Q$8,INDIRECT($AJ$4&amp;"!$B$4:$CZ$4"),0),0)</f>
        <v>#N/A</v>
      </c>
      <c r="R30" s="223" t="e">
        <f ca="1">VLOOKUP($B30,INDIRECT($AJ$4&amp;"!$B$6:$CZ$333"),MATCH('TN1'!R$8,INDIRECT($AJ$4&amp;"!$B$4:$CZ$4"),0),0)</f>
        <v>#N/A</v>
      </c>
      <c r="S30" s="223" t="e">
        <f ca="1">VLOOKUP($B30,INDIRECT($AJ$4&amp;"!$B$6:$CZ$333"),MATCH('TN1'!S$8,INDIRECT($AJ$4&amp;"!$B$4:$CZ$4"),0),0)</f>
        <v>#N/A</v>
      </c>
      <c r="T30" s="223" t="e">
        <f ca="1">VLOOKUP($B30,INDIRECT($AJ$4&amp;"!$B$6:$CZ$333"),MATCH('TN1'!T$8,INDIRECT($AJ$4&amp;"!$B$4:$CZ$4"),0),0)</f>
        <v>#N/A</v>
      </c>
      <c r="U30" s="223" t="e">
        <f ca="1">VLOOKUP($B30,INDIRECT($AJ$4&amp;"!$B$6:$CZ$333"),MATCH('TN1'!U$8,INDIRECT($AJ$4&amp;"!$B$4:$CZ$4"),0),0)</f>
        <v>#N/A</v>
      </c>
      <c r="V30" s="223" t="e">
        <f ca="1">VLOOKUP($B30,INDIRECT($AJ$4&amp;"!$B$6:$CZ$333"),MATCH('TN1'!V$8,INDIRECT($AJ$4&amp;"!$B$4:$CZ$4"),0),0)</f>
        <v>#N/A</v>
      </c>
      <c r="W30" s="223" t="e">
        <f ca="1">VLOOKUP($B30,INDIRECT($AJ$4&amp;"!$B$6:$CZ$333"),MATCH('TN1'!W$8,INDIRECT($AJ$4&amp;"!$B$4:$CZ$4"),0),0)</f>
        <v>#N/A</v>
      </c>
      <c r="X30" s="223" t="e">
        <f ca="1">VLOOKUP($B30,INDIRECT($AJ$4&amp;"!$B$6:$CZ$333"),MATCH('TN1'!X$8,INDIRECT($AJ$4&amp;"!$B$4:$CZ$4"),0),0)</f>
        <v>#N/A</v>
      </c>
      <c r="Y30" s="223" t="e">
        <f ca="1">VLOOKUP($B30,INDIRECT($AJ$4&amp;"!$B$6:$CZ$333"),MATCH('TN1'!Y$8,INDIRECT($AJ$4&amp;"!$B$4:$CZ$4"),0),0)</f>
        <v>#N/A</v>
      </c>
      <c r="Z30" s="223" t="e">
        <f ca="1">VLOOKUP($B30,INDIRECT($AJ$4&amp;"!$B$6:$CZ$333"),MATCH('TN1'!Z$8,INDIRECT($AJ$4&amp;"!$B$4:$CZ$4"),0),0)</f>
        <v>#N/A</v>
      </c>
      <c r="AA30" s="224">
        <f t="shared" ca="1" si="7"/>
        <v>0</v>
      </c>
      <c r="AB30" s="225" t="e">
        <f t="shared" ca="1" si="8"/>
        <v>#N/A</v>
      </c>
      <c r="AC30" s="226">
        <f t="shared" ca="1" si="9"/>
        <v>0</v>
      </c>
      <c r="AD30" s="226">
        <f t="shared" ca="1" si="10"/>
        <v>0</v>
      </c>
      <c r="AE30" s="226" t="s">
        <v>201</v>
      </c>
      <c r="AF30" s="226" t="e">
        <f t="shared" ca="1" si="11"/>
        <v>#N/A</v>
      </c>
      <c r="AG30" s="227"/>
      <c r="AI30" s="229"/>
    </row>
    <row r="31" spans="1:98" s="237" customFormat="1" ht="19.5" customHeight="1">
      <c r="A31" s="232"/>
      <c r="B31" s="233"/>
      <c r="C31" s="234"/>
      <c r="D31" s="235"/>
      <c r="E31" s="236"/>
      <c r="F31" s="236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B31" s="238"/>
      <c r="AC31" s="239" t="str">
        <f ca="1">"Đà Nẵng, ngày " &amp; TEXT(DAY(TODAY()),"00") &amp; " tháng " &amp; TEXT(MONTH(TODAY()),"00") &amp; " năm " &amp; YEAR(TODAY())</f>
        <v>Đà Nẵng, ngày 31 tháng 03 năm 2022</v>
      </c>
      <c r="AD31" s="238"/>
      <c r="AE31" s="238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P31" s="232"/>
      <c r="BQ31" s="232"/>
      <c r="BR31" s="232"/>
      <c r="BS31" s="232"/>
      <c r="BT31" s="232"/>
      <c r="BU31" s="232"/>
      <c r="BV31" s="232"/>
      <c r="BW31" s="240"/>
      <c r="BX31" s="240"/>
      <c r="BY31" s="240"/>
      <c r="BZ31" s="240"/>
    </row>
    <row r="32" spans="1:98" s="241" customFormat="1" ht="12">
      <c r="X32" s="232"/>
      <c r="Y32" s="232"/>
      <c r="Z32" s="232"/>
      <c r="AC32" s="233" t="s">
        <v>214</v>
      </c>
      <c r="AH32" s="232"/>
      <c r="AI32" s="232"/>
      <c r="AJ32" s="232"/>
      <c r="AK32" s="232"/>
      <c r="AL32" s="232"/>
      <c r="AM32" s="232"/>
      <c r="AN32" s="232"/>
      <c r="AO32" s="232"/>
      <c r="AP32" s="234"/>
      <c r="AQ32" s="232"/>
      <c r="AR32" s="232"/>
      <c r="AS32" s="232"/>
      <c r="AU32" s="232"/>
      <c r="AV32" s="233"/>
      <c r="AW32" s="232"/>
      <c r="AX32" s="232"/>
      <c r="AY32" s="232"/>
      <c r="AZ32" s="232"/>
      <c r="BA32" s="234"/>
      <c r="BB32" s="232"/>
      <c r="BC32" s="232"/>
      <c r="BD32" s="232"/>
      <c r="BE32" s="232"/>
      <c r="BF32" s="232"/>
      <c r="BG32" s="234"/>
      <c r="BH32" s="232"/>
      <c r="BI32" s="232"/>
      <c r="BJ32" s="232"/>
      <c r="BK32" s="232"/>
      <c r="BL32" s="234"/>
      <c r="BM32" s="232"/>
      <c r="BN32" s="232"/>
      <c r="BP32" s="232"/>
      <c r="BQ32" s="232"/>
      <c r="BR32" s="233"/>
      <c r="BS32" s="232"/>
      <c r="BT32" s="232"/>
      <c r="BU32" s="232"/>
      <c r="BV32" s="232"/>
      <c r="BW32" s="232"/>
      <c r="BX32" s="232"/>
      <c r="BY32" s="232"/>
      <c r="BZ32" s="23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N32" s="242"/>
      <c r="CO32" s="242"/>
      <c r="CP32" s="242"/>
      <c r="CQ32" s="242"/>
      <c r="CR32" s="242"/>
      <c r="CS32" s="242"/>
      <c r="CT32" s="243"/>
    </row>
    <row r="33" spans="1:98" s="241" customFormat="1" ht="12.75" customHeight="1">
      <c r="A33" s="232"/>
      <c r="B33" s="233" t="s">
        <v>215</v>
      </c>
      <c r="D33" s="322" t="s">
        <v>216</v>
      </c>
      <c r="E33" s="322"/>
      <c r="F33" s="322"/>
      <c r="G33" s="322"/>
      <c r="H33" s="322"/>
      <c r="I33" s="322"/>
      <c r="J33" s="233"/>
      <c r="L33" s="232"/>
      <c r="N33" s="322" t="s">
        <v>217</v>
      </c>
      <c r="O33" s="322"/>
      <c r="P33" s="322"/>
      <c r="Q33" s="322"/>
      <c r="R33" s="322"/>
      <c r="S33" s="322"/>
      <c r="T33" s="322"/>
      <c r="U33" s="322"/>
      <c r="V33" s="322"/>
      <c r="W33" s="232"/>
      <c r="X33" s="232"/>
      <c r="Y33" s="232"/>
      <c r="Z33" s="232"/>
      <c r="AC33" s="233" t="s">
        <v>218</v>
      </c>
      <c r="AG33" s="233"/>
      <c r="AH33" s="232"/>
      <c r="AI33" s="232"/>
      <c r="AJ33" s="232"/>
      <c r="AK33" s="232"/>
      <c r="AL33" s="232"/>
      <c r="AM33" s="232"/>
      <c r="AN33" s="232"/>
      <c r="AO33" s="232"/>
      <c r="AP33" s="234"/>
      <c r="AQ33" s="232"/>
      <c r="AR33" s="232"/>
      <c r="AS33" s="232"/>
      <c r="AU33" s="232"/>
      <c r="AV33" s="233"/>
      <c r="AW33" s="232"/>
      <c r="AX33" s="232"/>
      <c r="AY33" s="232"/>
      <c r="AZ33" s="232"/>
      <c r="BA33" s="234"/>
      <c r="BB33" s="232"/>
      <c r="BC33" s="232"/>
      <c r="BD33" s="232"/>
      <c r="BE33" s="232"/>
      <c r="BF33" s="232"/>
      <c r="BG33" s="234"/>
      <c r="BH33" s="232"/>
      <c r="BI33" s="232"/>
      <c r="BJ33" s="232"/>
      <c r="BK33" s="232"/>
      <c r="BL33" s="234"/>
      <c r="BM33" s="232"/>
      <c r="BN33" s="232"/>
      <c r="BO33" s="233"/>
      <c r="BP33" s="232"/>
      <c r="BQ33" s="232"/>
      <c r="BR33" s="233"/>
      <c r="BS33" s="232"/>
      <c r="BT33" s="232"/>
      <c r="BU33" s="232"/>
      <c r="BV33" s="232"/>
      <c r="BW33" s="232"/>
      <c r="BX33" s="232"/>
      <c r="BY33" s="232"/>
      <c r="BZ33" s="23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N33" s="242"/>
      <c r="CO33" s="242"/>
      <c r="CP33" s="242"/>
      <c r="CQ33" s="242"/>
      <c r="CR33" s="242"/>
      <c r="CS33" s="242"/>
      <c r="CT33" s="243"/>
    </row>
    <row r="34" spans="1:98" s="241" customFormat="1" ht="12">
      <c r="A34" s="232"/>
      <c r="B34" s="233"/>
      <c r="D34" s="235"/>
      <c r="E34" s="233"/>
      <c r="F34" s="236"/>
      <c r="G34" s="232"/>
      <c r="H34" s="232"/>
      <c r="I34" s="232"/>
      <c r="J34" s="232"/>
      <c r="L34" s="232"/>
      <c r="M34" s="233"/>
      <c r="N34" s="232"/>
      <c r="O34" s="232"/>
      <c r="T34" s="232"/>
      <c r="U34" s="232"/>
      <c r="W34" s="232"/>
      <c r="X34" s="232"/>
      <c r="Y34" s="232"/>
      <c r="Z34" s="232"/>
      <c r="AC34" s="233"/>
      <c r="AG34" s="232"/>
      <c r="AH34" s="232"/>
      <c r="AI34" s="232"/>
      <c r="AJ34" s="232"/>
      <c r="AK34" s="232"/>
      <c r="AL34" s="232"/>
      <c r="AM34" s="232"/>
      <c r="AN34" s="232"/>
      <c r="AO34" s="232"/>
      <c r="AP34" s="234"/>
      <c r="AQ34" s="232"/>
      <c r="AR34" s="232"/>
      <c r="AS34" s="232"/>
      <c r="AU34" s="232"/>
      <c r="AV34" s="233"/>
      <c r="AW34" s="232"/>
      <c r="AX34" s="232"/>
      <c r="AY34" s="232"/>
      <c r="AZ34" s="232"/>
      <c r="BA34" s="234"/>
      <c r="BB34" s="232"/>
      <c r="BC34" s="232"/>
      <c r="BD34" s="232"/>
      <c r="BE34" s="232"/>
      <c r="BF34" s="232"/>
      <c r="BG34" s="234"/>
      <c r="BH34" s="232"/>
      <c r="BI34" s="232"/>
      <c r="BJ34" s="232"/>
      <c r="BK34" s="232"/>
      <c r="BL34" s="234"/>
      <c r="BM34" s="232"/>
      <c r="BN34" s="232"/>
      <c r="BO34" s="233"/>
      <c r="BP34" s="232"/>
      <c r="BQ34" s="232"/>
      <c r="BR34" s="233"/>
      <c r="BS34" s="232"/>
      <c r="BT34" s="232"/>
      <c r="BU34" s="232"/>
      <c r="BV34" s="232"/>
      <c r="BW34" s="232"/>
      <c r="BX34" s="232"/>
      <c r="BY34" s="232"/>
      <c r="BZ34" s="23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N34" s="242"/>
      <c r="CO34" s="242"/>
      <c r="CP34" s="242"/>
      <c r="CQ34" s="242"/>
      <c r="CR34" s="242"/>
      <c r="CS34" s="242"/>
      <c r="CT34" s="243"/>
    </row>
    <row r="35" spans="1:98" s="237" customFormat="1">
      <c r="A35" s="232"/>
      <c r="B35" s="233"/>
      <c r="C35" s="241"/>
      <c r="D35" s="235"/>
      <c r="E35" s="233"/>
      <c r="F35" s="236"/>
      <c r="G35" s="232"/>
      <c r="H35" s="232"/>
      <c r="I35" s="232"/>
      <c r="J35" s="232"/>
      <c r="K35" s="241"/>
      <c r="L35" s="232"/>
      <c r="M35" s="233"/>
      <c r="N35" s="232"/>
      <c r="O35" s="232"/>
      <c r="P35" s="241"/>
      <c r="Q35" s="241"/>
      <c r="R35" s="241"/>
      <c r="S35" s="241"/>
      <c r="T35" s="232"/>
      <c r="U35" s="232"/>
      <c r="V35" s="241"/>
      <c r="W35" s="232"/>
      <c r="X35" s="232"/>
      <c r="Y35" s="232"/>
      <c r="Z35" s="232"/>
      <c r="AC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40"/>
      <c r="BX35" s="240"/>
      <c r="BY35" s="240"/>
      <c r="BZ35" s="240"/>
    </row>
    <row r="36" spans="1:98" s="237" customFormat="1">
      <c r="A36" s="232"/>
      <c r="B36" s="234"/>
      <c r="D36" s="235"/>
      <c r="E36" s="232"/>
      <c r="F36" s="236"/>
      <c r="G36" s="232"/>
      <c r="H36" s="232"/>
      <c r="I36" s="232"/>
      <c r="J36" s="232"/>
      <c r="L36" s="232"/>
      <c r="M36" s="232"/>
      <c r="N36" s="232"/>
      <c r="O36" s="232"/>
      <c r="T36" s="232"/>
      <c r="U36" s="232"/>
      <c r="W36" s="232"/>
      <c r="X36" s="232"/>
      <c r="Y36" s="232"/>
      <c r="Z36" s="232"/>
      <c r="AC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40"/>
      <c r="BX36" s="240"/>
      <c r="BY36" s="240"/>
      <c r="BZ36" s="240"/>
    </row>
    <row r="37" spans="1:98" s="237" customFormat="1">
      <c r="A37" s="232"/>
      <c r="B37" s="234"/>
      <c r="D37" s="235"/>
      <c r="E37" s="232"/>
      <c r="F37" s="236"/>
      <c r="G37" s="232"/>
      <c r="H37" s="232"/>
      <c r="I37" s="232"/>
      <c r="J37" s="232"/>
      <c r="L37" s="232"/>
      <c r="M37" s="232"/>
      <c r="N37" s="232"/>
      <c r="O37" s="232"/>
      <c r="T37" s="232"/>
      <c r="U37" s="232"/>
      <c r="W37" s="232"/>
      <c r="X37" s="232"/>
      <c r="Y37" s="232"/>
      <c r="Z37" s="232"/>
      <c r="AC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40"/>
      <c r="BX37" s="240"/>
      <c r="BY37" s="240"/>
      <c r="BZ37" s="240"/>
    </row>
    <row r="38" spans="1:98" s="237" customFormat="1">
      <c r="A38" s="232"/>
      <c r="B38" s="234"/>
      <c r="D38" s="235"/>
      <c r="E38" s="232"/>
      <c r="F38" s="236"/>
      <c r="G38" s="232"/>
      <c r="H38" s="232"/>
      <c r="I38" s="232"/>
      <c r="J38" s="232"/>
      <c r="L38" s="232"/>
      <c r="M38" s="232"/>
      <c r="N38" s="232"/>
      <c r="O38" s="232"/>
      <c r="T38" s="232"/>
      <c r="U38" s="232"/>
      <c r="W38" s="232"/>
      <c r="X38" s="232"/>
      <c r="Y38" s="232"/>
      <c r="Z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40"/>
      <c r="BX38" s="240"/>
      <c r="BY38" s="240"/>
      <c r="BZ38" s="240"/>
    </row>
    <row r="39" spans="1:98">
      <c r="A39" s="232"/>
      <c r="B39" s="233" t="s">
        <v>219</v>
      </c>
      <c r="C39" s="237"/>
      <c r="D39" s="322" t="s">
        <v>220</v>
      </c>
      <c r="E39" s="322"/>
      <c r="F39" s="322"/>
      <c r="G39" s="322"/>
      <c r="H39" s="322"/>
      <c r="I39" s="322"/>
      <c r="J39" s="232"/>
      <c r="K39" s="237"/>
      <c r="L39" s="232"/>
      <c r="M39" s="233"/>
      <c r="N39" s="323" t="s">
        <v>221</v>
      </c>
      <c r="O39" s="323"/>
      <c r="P39" s="323"/>
      <c r="Q39" s="323"/>
      <c r="R39" s="323"/>
      <c r="S39" s="323"/>
      <c r="T39" s="323"/>
      <c r="U39" s="323"/>
      <c r="V39" s="323"/>
      <c r="W39" s="232"/>
      <c r="AC39" s="233" t="s">
        <v>222</v>
      </c>
      <c r="AD39" s="233"/>
    </row>
  </sheetData>
  <mergeCells count="23">
    <mergeCell ref="A4:AG4"/>
    <mergeCell ref="B1:C1"/>
    <mergeCell ref="D1:AF1"/>
    <mergeCell ref="B2:C2"/>
    <mergeCell ref="D2:AF2"/>
    <mergeCell ref="A3:AG3"/>
    <mergeCell ref="A5:AG5"/>
    <mergeCell ref="A9:A10"/>
    <mergeCell ref="C9:C10"/>
    <mergeCell ref="D9:D10"/>
    <mergeCell ref="E9:E10"/>
    <mergeCell ref="F9:F10"/>
    <mergeCell ref="AB9:AB10"/>
    <mergeCell ref="AC9:AC10"/>
    <mergeCell ref="AD9:AD10"/>
    <mergeCell ref="D39:I39"/>
    <mergeCell ref="N39:V39"/>
    <mergeCell ref="AE9:AE10"/>
    <mergeCell ref="AF9:AF10"/>
    <mergeCell ref="AG9:AG10"/>
    <mergeCell ref="A11:AG11"/>
    <mergeCell ref="D33:I33"/>
    <mergeCell ref="N33:V33"/>
  </mergeCells>
  <conditionalFormatting sqref="G23:AA26 G28:AA30 G12:AA21">
    <cfRule type="containsBlanks" dxfId="2" priority="4">
      <formula>LEN(TRIM(G12))=0</formula>
    </cfRule>
    <cfRule type="cellIs" dxfId="1" priority="5" stopIfTrue="1" operator="lessThan">
      <formula>4</formula>
    </cfRule>
  </conditionalFormatting>
  <conditionalFormatting sqref="AF23:AF26 AF28:AF30 AF12:AF21">
    <cfRule type="cellIs" dxfId="0" priority="3" operator="equal">
      <formula>"KO ĐỦ"</formula>
    </cfRule>
  </conditionalFormatting>
  <printOptions horizontalCentered="1"/>
  <pageMargins left="0.24" right="0.15748031496063" top="0.31496062992126" bottom="0.31496062992126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BĐTN</vt:lpstr>
      <vt:lpstr>BD</vt:lpstr>
      <vt:lpstr>CHUONG TRINH ĐT</vt:lpstr>
      <vt:lpstr>K20MCS</vt:lpstr>
      <vt:lpstr>LUAN VAN</vt:lpstr>
      <vt:lpstr>TN1</vt:lpstr>
      <vt:lpstr>BD!Print_Area</vt:lpstr>
      <vt:lpstr>BĐTN!Print_Area</vt:lpstr>
      <vt:lpstr>'TN1'!Print_Area</vt:lpstr>
      <vt:lpstr>'TN1'!Print_Titles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2022-03-21T02:09:23Z</cp:lastPrinted>
  <dcterms:created xsi:type="dcterms:W3CDTF">2009-12-01T01:25:32Z</dcterms:created>
  <dcterms:modified xsi:type="dcterms:W3CDTF">2022-03-31T07:06:52Z</dcterms:modified>
</cp:coreProperties>
</file>